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Ex1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Ex2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drawings/drawing2.xml" ContentType="application/vnd.openxmlformats-officedocument.drawing+xml"/>
  <Override PartName="/xl/charts/chart1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1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19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0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1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2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6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7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28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29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.xml" ContentType="application/vnd.openxmlformats-officedocument.drawing+xml"/>
  <Override PartName="/xl/charts/chart30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1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2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3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4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5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6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7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38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39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0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1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.xml" ContentType="application/vnd.openxmlformats-officedocument.drawing+xml"/>
  <Override PartName="/xl/charts/chart42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5.xml" ContentType="application/vnd.openxmlformats-officedocument.drawing+xml"/>
  <Override PartName="/xl/charts/chart48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9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50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1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2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3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4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5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6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7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8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9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6.xml" ContentType="application/vnd.openxmlformats-officedocument.drawing+xml"/>
  <Override PartName="/xl/charts/chart60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7.xml" ContentType="application/vnd.openxmlformats-officedocument.drawing+xml"/>
  <Override PartName="/xl/charts/chart7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7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7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7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7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7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7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7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7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7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8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8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8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ticia\Desktop\Programa de Doctorado UGR\"/>
    </mc:Choice>
  </mc:AlternateContent>
  <bookViews>
    <workbookView xWindow="0" yWindow="0" windowWidth="20490" windowHeight="7020"/>
  </bookViews>
  <sheets>
    <sheet name="Indicadores" sheetId="1" r:id="rId1"/>
    <sheet name="Gráficos totales" sheetId="5" r:id="rId2"/>
    <sheet name="Gráficos Escuelas" sheetId="6" r:id="rId3"/>
    <sheet name="Gráficos Programas Salud" sheetId="7" r:id="rId4"/>
    <sheet name="Salud" sheetId="11" r:id="rId5"/>
    <sheet name="Gráficos Programas TIC" sheetId="9" r:id="rId6"/>
    <sheet name="TIC" sheetId="12" r:id="rId7"/>
    <sheet name="Gráficos Programas CCSS" sheetId="10" r:id="rId8"/>
    <sheet name="CCSS" sheetId="13" r:id="rId9"/>
    <sheet name="Estudio correlación" sheetId="3" r:id="rId10"/>
  </sheets>
  <definedNames>
    <definedName name="_xlnm._FilterDatabase" localSheetId="0" hidden="1">Indicadores!$A$1:$BR$451</definedName>
    <definedName name="_xlchart.v1.0" hidden="1">Indicadores!$AQ$181:$AS$181</definedName>
    <definedName name="_xlchart.v1.1" hidden="1">Indicadores!$AQ$1:$AS$2</definedName>
    <definedName name="_xlchart.v1.2" hidden="1">Indicadores!$U$1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4" i="1" l="1"/>
  <c r="AT3" i="1"/>
  <c r="U22" i="1" l="1"/>
  <c r="BG3" i="1"/>
  <c r="AU75" i="1"/>
  <c r="U23" i="1" l="1"/>
  <c r="U159" i="1"/>
  <c r="U129" i="1"/>
  <c r="U108" i="1"/>
  <c r="U105" i="1"/>
  <c r="U57" i="1"/>
  <c r="U26" i="1"/>
  <c r="X125" i="1"/>
  <c r="Y125" i="1"/>
  <c r="Z125" i="1"/>
  <c r="AA125" i="1"/>
  <c r="AB125" i="1"/>
  <c r="AO3" i="1" l="1"/>
  <c r="BG40" i="1"/>
  <c r="P260" i="1"/>
  <c r="AP180" i="1" l="1"/>
  <c r="AO180" i="1"/>
  <c r="AN180" i="1"/>
  <c r="AP179" i="1"/>
  <c r="AO179" i="1"/>
  <c r="AN179" i="1"/>
  <c r="AP178" i="1"/>
  <c r="AO178" i="1"/>
  <c r="AN178" i="1"/>
  <c r="AP177" i="1"/>
  <c r="AO177" i="1"/>
  <c r="AN177" i="1"/>
  <c r="AP176" i="1"/>
  <c r="AO176" i="1"/>
  <c r="AN176" i="1"/>
  <c r="AP175" i="1"/>
  <c r="AO175" i="1"/>
  <c r="AN175" i="1"/>
  <c r="AP174" i="1"/>
  <c r="AO174" i="1"/>
  <c r="AN174" i="1"/>
  <c r="AP173" i="1"/>
  <c r="AO173" i="1"/>
  <c r="AN173" i="1"/>
  <c r="AP172" i="1"/>
  <c r="AO172" i="1"/>
  <c r="AN172" i="1"/>
  <c r="AP171" i="1"/>
  <c r="AO171" i="1"/>
  <c r="AN171" i="1"/>
  <c r="AP170" i="1"/>
  <c r="AO170" i="1"/>
  <c r="AN170" i="1"/>
  <c r="AP169" i="1"/>
  <c r="AO169" i="1"/>
  <c r="AN169" i="1"/>
  <c r="AP168" i="1"/>
  <c r="AO168" i="1"/>
  <c r="AN168" i="1"/>
  <c r="AP167" i="1"/>
  <c r="AO167" i="1"/>
  <c r="AN167" i="1"/>
  <c r="AP166" i="1"/>
  <c r="AO166" i="1"/>
  <c r="AN166" i="1"/>
  <c r="AP165" i="1"/>
  <c r="AO165" i="1"/>
  <c r="AN165" i="1"/>
  <c r="AP164" i="1"/>
  <c r="AO164" i="1"/>
  <c r="AN164" i="1"/>
  <c r="AP163" i="1"/>
  <c r="AO163" i="1"/>
  <c r="AN163" i="1"/>
  <c r="AP162" i="1"/>
  <c r="AO162" i="1"/>
  <c r="AN162" i="1"/>
  <c r="AP161" i="1"/>
  <c r="AO161" i="1"/>
  <c r="AN161" i="1"/>
  <c r="AP160" i="1"/>
  <c r="AO160" i="1"/>
  <c r="AN160" i="1"/>
  <c r="AP159" i="1"/>
  <c r="AO159" i="1"/>
  <c r="AN159" i="1"/>
  <c r="AP158" i="1"/>
  <c r="AO158" i="1"/>
  <c r="AN158" i="1"/>
  <c r="AP157" i="1"/>
  <c r="AO157" i="1"/>
  <c r="AN157" i="1"/>
  <c r="AP156" i="1"/>
  <c r="AO156" i="1"/>
  <c r="AN156" i="1"/>
  <c r="AP155" i="1"/>
  <c r="AO155" i="1"/>
  <c r="AN155" i="1"/>
  <c r="AP154" i="1"/>
  <c r="AO154" i="1"/>
  <c r="AN154" i="1"/>
  <c r="AP153" i="1"/>
  <c r="AO153" i="1"/>
  <c r="AN153" i="1"/>
  <c r="AP152" i="1"/>
  <c r="AO152" i="1"/>
  <c r="AN152" i="1"/>
  <c r="AP151" i="1"/>
  <c r="AO151" i="1"/>
  <c r="AN151" i="1"/>
  <c r="AP150" i="1"/>
  <c r="AO150" i="1"/>
  <c r="AN150" i="1"/>
  <c r="AP149" i="1"/>
  <c r="AO149" i="1"/>
  <c r="AN149" i="1"/>
  <c r="AP148" i="1"/>
  <c r="AO148" i="1"/>
  <c r="AN148" i="1"/>
  <c r="AP147" i="1"/>
  <c r="AO147" i="1"/>
  <c r="AN147" i="1"/>
  <c r="AP146" i="1"/>
  <c r="AO146" i="1"/>
  <c r="AN146" i="1"/>
  <c r="AP145" i="1"/>
  <c r="AO145" i="1"/>
  <c r="AN145" i="1"/>
  <c r="AP144" i="1"/>
  <c r="AO144" i="1"/>
  <c r="AN144" i="1"/>
  <c r="AP143" i="1"/>
  <c r="AO143" i="1"/>
  <c r="AN143" i="1"/>
  <c r="AP142" i="1"/>
  <c r="AO142" i="1"/>
  <c r="AN142" i="1"/>
  <c r="AP141" i="1"/>
  <c r="AO141" i="1"/>
  <c r="AN141" i="1"/>
  <c r="AP140" i="1"/>
  <c r="AO140" i="1"/>
  <c r="AN140" i="1"/>
  <c r="AP139" i="1"/>
  <c r="AO139" i="1"/>
  <c r="AN139" i="1"/>
  <c r="AP138" i="1"/>
  <c r="AO138" i="1"/>
  <c r="AN138" i="1"/>
  <c r="AP137" i="1"/>
  <c r="AO137" i="1"/>
  <c r="AN137" i="1"/>
  <c r="AP136" i="1"/>
  <c r="AO136" i="1"/>
  <c r="AN136" i="1"/>
  <c r="AP135" i="1"/>
  <c r="AO135" i="1"/>
  <c r="AN135" i="1"/>
  <c r="AP134" i="1"/>
  <c r="AO134" i="1"/>
  <c r="AN134" i="1"/>
  <c r="AP133" i="1"/>
  <c r="AO133" i="1"/>
  <c r="AN133" i="1"/>
  <c r="AP132" i="1"/>
  <c r="AO132" i="1"/>
  <c r="AN132" i="1"/>
  <c r="AP131" i="1"/>
  <c r="AO131" i="1"/>
  <c r="AN131" i="1"/>
  <c r="AP130" i="1"/>
  <c r="AO130" i="1"/>
  <c r="AN130" i="1"/>
  <c r="AP129" i="1"/>
  <c r="AO129" i="1"/>
  <c r="AN129" i="1"/>
  <c r="AP128" i="1"/>
  <c r="AO128" i="1"/>
  <c r="AN128" i="1"/>
  <c r="AP127" i="1"/>
  <c r="AO127" i="1"/>
  <c r="AN127" i="1"/>
  <c r="AP126" i="1"/>
  <c r="AO126" i="1"/>
  <c r="AN126" i="1"/>
  <c r="AP125" i="1"/>
  <c r="AO125" i="1"/>
  <c r="AN125" i="1"/>
  <c r="AP124" i="1"/>
  <c r="AO124" i="1"/>
  <c r="AN124" i="1"/>
  <c r="AP123" i="1"/>
  <c r="AO123" i="1"/>
  <c r="AN123" i="1"/>
  <c r="AP122" i="1"/>
  <c r="AO122" i="1"/>
  <c r="AN122" i="1"/>
  <c r="AP121" i="1"/>
  <c r="AO121" i="1"/>
  <c r="AN121" i="1"/>
  <c r="AP120" i="1"/>
  <c r="AO120" i="1"/>
  <c r="AN120" i="1"/>
  <c r="AP119" i="1"/>
  <c r="AO119" i="1"/>
  <c r="AN119" i="1"/>
  <c r="AP118" i="1"/>
  <c r="AO118" i="1"/>
  <c r="AN118" i="1"/>
  <c r="AP117" i="1"/>
  <c r="AO117" i="1"/>
  <c r="AN117" i="1"/>
  <c r="AP116" i="1"/>
  <c r="AO116" i="1"/>
  <c r="AN116" i="1"/>
  <c r="AP115" i="1"/>
  <c r="AO115" i="1"/>
  <c r="AN115" i="1"/>
  <c r="AP114" i="1"/>
  <c r="AO114" i="1"/>
  <c r="AN114" i="1"/>
  <c r="AP113" i="1"/>
  <c r="AO113" i="1"/>
  <c r="AN113" i="1"/>
  <c r="AP112" i="1"/>
  <c r="AO112" i="1"/>
  <c r="AN112" i="1"/>
  <c r="AP111" i="1"/>
  <c r="AO111" i="1"/>
  <c r="AN111" i="1"/>
  <c r="AP110" i="1"/>
  <c r="AO110" i="1"/>
  <c r="AN110" i="1"/>
  <c r="AP109" i="1"/>
  <c r="AO109" i="1"/>
  <c r="AN109" i="1"/>
  <c r="AP108" i="1"/>
  <c r="AO108" i="1"/>
  <c r="AN108" i="1"/>
  <c r="AP107" i="1"/>
  <c r="AO107" i="1"/>
  <c r="AN107" i="1"/>
  <c r="AP106" i="1"/>
  <c r="AO106" i="1"/>
  <c r="AN106" i="1"/>
  <c r="AP105" i="1"/>
  <c r="AO105" i="1"/>
  <c r="AN105" i="1"/>
  <c r="AP104" i="1"/>
  <c r="AO104" i="1"/>
  <c r="AN104" i="1"/>
  <c r="AP103" i="1"/>
  <c r="AO103" i="1"/>
  <c r="AN103" i="1"/>
  <c r="AP102" i="1"/>
  <c r="AO102" i="1"/>
  <c r="AN102" i="1"/>
  <c r="AP101" i="1"/>
  <c r="AO101" i="1"/>
  <c r="AN101" i="1"/>
  <c r="AP100" i="1"/>
  <c r="AO100" i="1"/>
  <c r="AN100" i="1"/>
  <c r="AP99" i="1"/>
  <c r="AO99" i="1"/>
  <c r="AN99" i="1"/>
  <c r="AP98" i="1"/>
  <c r="AO98" i="1"/>
  <c r="AN98" i="1"/>
  <c r="AP97" i="1"/>
  <c r="AO97" i="1"/>
  <c r="AN97" i="1"/>
  <c r="AP96" i="1"/>
  <c r="AO96" i="1"/>
  <c r="AN96" i="1"/>
  <c r="AP95" i="1"/>
  <c r="AO95" i="1"/>
  <c r="AN95" i="1"/>
  <c r="AP94" i="1"/>
  <c r="AO94" i="1"/>
  <c r="AN94" i="1"/>
  <c r="AP93" i="1"/>
  <c r="AO93" i="1"/>
  <c r="AN93" i="1"/>
  <c r="AP92" i="1"/>
  <c r="AO92" i="1"/>
  <c r="AN92" i="1"/>
  <c r="AP91" i="1"/>
  <c r="AO91" i="1"/>
  <c r="AN91" i="1"/>
  <c r="AP90" i="1"/>
  <c r="AO90" i="1"/>
  <c r="AN90" i="1"/>
  <c r="AP89" i="1"/>
  <c r="AO89" i="1"/>
  <c r="AN89" i="1"/>
  <c r="AP88" i="1"/>
  <c r="AO88" i="1"/>
  <c r="AN88" i="1"/>
  <c r="AP87" i="1"/>
  <c r="AO87" i="1"/>
  <c r="AN87" i="1"/>
  <c r="AP86" i="1"/>
  <c r="AO86" i="1"/>
  <c r="AN86" i="1"/>
  <c r="AP85" i="1"/>
  <c r="AO85" i="1"/>
  <c r="AN85" i="1"/>
  <c r="AP84" i="1"/>
  <c r="AO84" i="1"/>
  <c r="AN84" i="1"/>
  <c r="AP83" i="1"/>
  <c r="AO83" i="1"/>
  <c r="AN83" i="1"/>
  <c r="AP82" i="1"/>
  <c r="AO82" i="1"/>
  <c r="AN82" i="1"/>
  <c r="AP81" i="1"/>
  <c r="AO81" i="1"/>
  <c r="AN81" i="1"/>
  <c r="AP80" i="1"/>
  <c r="AO80" i="1"/>
  <c r="AN80" i="1"/>
  <c r="AP79" i="1"/>
  <c r="AO79" i="1"/>
  <c r="AN79" i="1"/>
  <c r="AP78" i="1"/>
  <c r="AO78" i="1"/>
  <c r="AN78" i="1"/>
  <c r="AP77" i="1"/>
  <c r="AO77" i="1"/>
  <c r="AN77" i="1"/>
  <c r="AP76" i="1"/>
  <c r="AO76" i="1"/>
  <c r="AN76" i="1"/>
  <c r="AP75" i="1"/>
  <c r="AO75" i="1"/>
  <c r="AN75" i="1"/>
  <c r="AP74" i="1"/>
  <c r="AO74" i="1"/>
  <c r="AN74" i="1"/>
  <c r="AP73" i="1"/>
  <c r="AO73" i="1"/>
  <c r="AN73" i="1"/>
  <c r="AP72" i="1"/>
  <c r="AO72" i="1"/>
  <c r="AN72" i="1"/>
  <c r="AP71" i="1"/>
  <c r="AO71" i="1"/>
  <c r="AN71" i="1"/>
  <c r="AP70" i="1"/>
  <c r="AO70" i="1"/>
  <c r="AN70" i="1"/>
  <c r="AP69" i="1"/>
  <c r="AO69" i="1"/>
  <c r="AN69" i="1"/>
  <c r="AP68" i="1"/>
  <c r="AO68" i="1"/>
  <c r="AN68" i="1"/>
  <c r="AP67" i="1"/>
  <c r="AO67" i="1"/>
  <c r="AN67" i="1"/>
  <c r="AP66" i="1"/>
  <c r="AO66" i="1"/>
  <c r="AN66" i="1"/>
  <c r="AP65" i="1"/>
  <c r="AO65" i="1"/>
  <c r="AN65" i="1"/>
  <c r="AP64" i="1"/>
  <c r="AO64" i="1"/>
  <c r="AN64" i="1"/>
  <c r="AP63" i="1"/>
  <c r="AO63" i="1"/>
  <c r="AN63" i="1"/>
  <c r="AP62" i="1"/>
  <c r="AO62" i="1"/>
  <c r="AN62" i="1"/>
  <c r="AP61" i="1"/>
  <c r="AO61" i="1"/>
  <c r="AN61" i="1"/>
  <c r="AP60" i="1"/>
  <c r="AO60" i="1"/>
  <c r="AN60" i="1"/>
  <c r="AP59" i="1"/>
  <c r="AO59" i="1"/>
  <c r="AN59" i="1"/>
  <c r="AP58" i="1"/>
  <c r="AO58" i="1"/>
  <c r="AN58" i="1"/>
  <c r="AP57" i="1"/>
  <c r="AO57" i="1"/>
  <c r="AN57" i="1"/>
  <c r="AP56" i="1"/>
  <c r="AO56" i="1"/>
  <c r="AN56" i="1"/>
  <c r="AP55" i="1"/>
  <c r="AO55" i="1"/>
  <c r="AN55" i="1"/>
  <c r="AP54" i="1"/>
  <c r="AO54" i="1"/>
  <c r="AN54" i="1"/>
  <c r="AP53" i="1"/>
  <c r="AO53" i="1"/>
  <c r="AN53" i="1"/>
  <c r="AP52" i="1"/>
  <c r="AO52" i="1"/>
  <c r="AN52" i="1"/>
  <c r="AP51" i="1"/>
  <c r="AO51" i="1"/>
  <c r="AN51" i="1"/>
  <c r="AP50" i="1"/>
  <c r="AO50" i="1"/>
  <c r="AN50" i="1"/>
  <c r="AP49" i="1"/>
  <c r="AO49" i="1"/>
  <c r="AN49" i="1"/>
  <c r="AP48" i="1"/>
  <c r="AO48" i="1"/>
  <c r="AN48" i="1"/>
  <c r="AP47" i="1"/>
  <c r="AO47" i="1"/>
  <c r="AN47" i="1"/>
  <c r="AP46" i="1"/>
  <c r="AO46" i="1"/>
  <c r="AN46" i="1"/>
  <c r="AP45" i="1"/>
  <c r="AO45" i="1"/>
  <c r="AN45" i="1"/>
  <c r="AP44" i="1"/>
  <c r="AO44" i="1"/>
  <c r="AN44" i="1"/>
  <c r="AP43" i="1"/>
  <c r="AO43" i="1"/>
  <c r="AN43" i="1"/>
  <c r="AP42" i="1"/>
  <c r="AO42" i="1"/>
  <c r="AN42" i="1"/>
  <c r="AP41" i="1"/>
  <c r="AO41" i="1"/>
  <c r="AN41" i="1"/>
  <c r="AP40" i="1"/>
  <c r="AO40" i="1"/>
  <c r="AN40" i="1"/>
  <c r="AP39" i="1"/>
  <c r="AO39" i="1"/>
  <c r="AN39" i="1"/>
  <c r="AP38" i="1"/>
  <c r="AO38" i="1"/>
  <c r="AN38" i="1"/>
  <c r="AP37" i="1"/>
  <c r="AO37" i="1"/>
  <c r="AN37" i="1"/>
  <c r="AP36" i="1"/>
  <c r="AO36" i="1"/>
  <c r="AN36" i="1"/>
  <c r="AP35" i="1"/>
  <c r="AO35" i="1"/>
  <c r="AN35" i="1"/>
  <c r="AP34" i="1"/>
  <c r="AO34" i="1"/>
  <c r="AN34" i="1"/>
  <c r="AP33" i="1"/>
  <c r="AO33" i="1"/>
  <c r="AN33" i="1"/>
  <c r="AP32" i="1"/>
  <c r="AO32" i="1"/>
  <c r="AN32" i="1"/>
  <c r="AP31" i="1"/>
  <c r="AO31" i="1"/>
  <c r="AN31" i="1"/>
  <c r="AP30" i="1"/>
  <c r="AO30" i="1"/>
  <c r="AN30" i="1"/>
  <c r="AP29" i="1"/>
  <c r="AO29" i="1"/>
  <c r="AN29" i="1"/>
  <c r="AP28" i="1"/>
  <c r="AO28" i="1"/>
  <c r="AN28" i="1"/>
  <c r="AP27" i="1"/>
  <c r="AO27" i="1"/>
  <c r="AN27" i="1"/>
  <c r="AP26" i="1"/>
  <c r="AO26" i="1"/>
  <c r="AN26" i="1"/>
  <c r="AP25" i="1"/>
  <c r="AO25" i="1"/>
  <c r="AN25" i="1"/>
  <c r="AP24" i="1"/>
  <c r="AO24" i="1"/>
  <c r="AN24" i="1"/>
  <c r="AP23" i="1"/>
  <c r="AO23" i="1"/>
  <c r="AN23" i="1"/>
  <c r="AP22" i="1"/>
  <c r="AO22" i="1"/>
  <c r="AN22" i="1"/>
  <c r="AP21" i="1"/>
  <c r="AO21" i="1"/>
  <c r="AN21" i="1"/>
  <c r="AP20" i="1"/>
  <c r="AO20" i="1"/>
  <c r="AN20" i="1"/>
  <c r="AP19" i="1"/>
  <c r="AO19" i="1"/>
  <c r="AN19" i="1"/>
  <c r="AP18" i="1"/>
  <c r="AO18" i="1"/>
  <c r="AN18" i="1"/>
  <c r="AP17" i="1"/>
  <c r="AO17" i="1"/>
  <c r="AN17" i="1"/>
  <c r="AP16" i="1"/>
  <c r="AO16" i="1"/>
  <c r="AN16" i="1"/>
  <c r="AP15" i="1"/>
  <c r="AO15" i="1"/>
  <c r="AN15" i="1"/>
  <c r="AP14" i="1"/>
  <c r="AO14" i="1"/>
  <c r="AN14" i="1"/>
  <c r="AP13" i="1"/>
  <c r="AO13" i="1"/>
  <c r="AN13" i="1"/>
  <c r="AP12" i="1"/>
  <c r="AO12" i="1"/>
  <c r="AN12" i="1"/>
  <c r="AP11" i="1"/>
  <c r="AO11" i="1"/>
  <c r="AN11" i="1"/>
  <c r="AP10" i="1"/>
  <c r="AO10" i="1"/>
  <c r="AN10" i="1"/>
  <c r="AP9" i="1"/>
  <c r="AO9" i="1"/>
  <c r="AN9" i="1"/>
  <c r="AP8" i="1"/>
  <c r="AO8" i="1"/>
  <c r="AN8" i="1"/>
  <c r="AP7" i="1"/>
  <c r="AO7" i="1"/>
  <c r="AN7" i="1"/>
  <c r="AP6" i="1"/>
  <c r="AO6" i="1"/>
  <c r="AN6" i="1"/>
  <c r="AP5" i="1"/>
  <c r="AO5" i="1"/>
  <c r="AN5" i="1"/>
  <c r="AP4" i="1"/>
  <c r="AO4" i="1"/>
  <c r="AN4" i="1"/>
  <c r="AP3" i="1"/>
  <c r="AN3" i="1"/>
  <c r="AK180" i="1"/>
  <c r="AJ180" i="1"/>
  <c r="AI180" i="1"/>
  <c r="AK179" i="1"/>
  <c r="AJ179" i="1"/>
  <c r="AI179" i="1"/>
  <c r="AK178" i="1"/>
  <c r="AJ178" i="1"/>
  <c r="AI178" i="1"/>
  <c r="AK177" i="1"/>
  <c r="AJ177" i="1"/>
  <c r="AI177" i="1"/>
  <c r="AK176" i="1"/>
  <c r="AJ176" i="1"/>
  <c r="AI176" i="1"/>
  <c r="AK175" i="1"/>
  <c r="AJ175" i="1"/>
  <c r="AI175" i="1"/>
  <c r="AK174" i="1"/>
  <c r="AJ174" i="1"/>
  <c r="AI174" i="1"/>
  <c r="AK173" i="1"/>
  <c r="AJ173" i="1"/>
  <c r="AI173" i="1"/>
  <c r="AK172" i="1"/>
  <c r="AJ172" i="1"/>
  <c r="AI172" i="1"/>
  <c r="AK171" i="1"/>
  <c r="AJ171" i="1"/>
  <c r="AI171" i="1"/>
  <c r="AK170" i="1"/>
  <c r="AJ170" i="1"/>
  <c r="AI170" i="1"/>
  <c r="AK169" i="1"/>
  <c r="AJ169" i="1"/>
  <c r="AI169" i="1"/>
  <c r="AK168" i="1"/>
  <c r="AJ168" i="1"/>
  <c r="AI168" i="1"/>
  <c r="AK167" i="1"/>
  <c r="AJ167" i="1"/>
  <c r="AI167" i="1"/>
  <c r="AK166" i="1"/>
  <c r="AJ166" i="1"/>
  <c r="AI166" i="1"/>
  <c r="AK165" i="1"/>
  <c r="AJ165" i="1"/>
  <c r="AI165" i="1"/>
  <c r="AK164" i="1"/>
  <c r="AJ164" i="1"/>
  <c r="AI164" i="1"/>
  <c r="AK163" i="1"/>
  <c r="AJ163" i="1"/>
  <c r="AI163" i="1"/>
  <c r="AK162" i="1"/>
  <c r="AJ162" i="1"/>
  <c r="AI162" i="1"/>
  <c r="AK161" i="1"/>
  <c r="AJ161" i="1"/>
  <c r="AI161" i="1"/>
  <c r="AK160" i="1"/>
  <c r="AJ160" i="1"/>
  <c r="AI160" i="1"/>
  <c r="AK159" i="1"/>
  <c r="AJ159" i="1"/>
  <c r="AI159" i="1"/>
  <c r="AK158" i="1"/>
  <c r="AJ158" i="1"/>
  <c r="AI158" i="1"/>
  <c r="AK157" i="1"/>
  <c r="AJ157" i="1"/>
  <c r="AI157" i="1"/>
  <c r="AK156" i="1"/>
  <c r="AJ156" i="1"/>
  <c r="AI156" i="1"/>
  <c r="AK155" i="1"/>
  <c r="AJ155" i="1"/>
  <c r="AI155" i="1"/>
  <c r="AK154" i="1"/>
  <c r="AJ154" i="1"/>
  <c r="AI154" i="1"/>
  <c r="AK153" i="1"/>
  <c r="AJ153" i="1"/>
  <c r="AI153" i="1"/>
  <c r="AK152" i="1"/>
  <c r="AJ152" i="1"/>
  <c r="AI152" i="1"/>
  <c r="AK151" i="1"/>
  <c r="AJ151" i="1"/>
  <c r="AI151" i="1"/>
  <c r="AK150" i="1"/>
  <c r="AJ150" i="1"/>
  <c r="AI150" i="1"/>
  <c r="AK149" i="1"/>
  <c r="AJ149" i="1"/>
  <c r="AI149" i="1"/>
  <c r="AK148" i="1"/>
  <c r="AJ148" i="1"/>
  <c r="AI148" i="1"/>
  <c r="AK147" i="1"/>
  <c r="AJ147" i="1"/>
  <c r="AI147" i="1"/>
  <c r="AK146" i="1"/>
  <c r="AJ146" i="1"/>
  <c r="AI146" i="1"/>
  <c r="AK145" i="1"/>
  <c r="AJ145" i="1"/>
  <c r="AI145" i="1"/>
  <c r="AK144" i="1"/>
  <c r="AJ144" i="1"/>
  <c r="AI144" i="1"/>
  <c r="AK143" i="1"/>
  <c r="AJ143" i="1"/>
  <c r="AI143" i="1"/>
  <c r="AK142" i="1"/>
  <c r="AJ142" i="1"/>
  <c r="AI142" i="1"/>
  <c r="AK141" i="1"/>
  <c r="AJ141" i="1"/>
  <c r="AI141" i="1"/>
  <c r="AK140" i="1"/>
  <c r="AJ140" i="1"/>
  <c r="AI140" i="1"/>
  <c r="AK139" i="1"/>
  <c r="AJ139" i="1"/>
  <c r="AI139" i="1"/>
  <c r="AK138" i="1"/>
  <c r="AJ138" i="1"/>
  <c r="AI138" i="1"/>
  <c r="AK137" i="1"/>
  <c r="AJ137" i="1"/>
  <c r="AI137" i="1"/>
  <c r="AK136" i="1"/>
  <c r="AJ136" i="1"/>
  <c r="AI136" i="1"/>
  <c r="AK135" i="1"/>
  <c r="AJ135" i="1"/>
  <c r="AI135" i="1"/>
  <c r="AK134" i="1"/>
  <c r="AJ134" i="1"/>
  <c r="AI134" i="1"/>
  <c r="AK133" i="1"/>
  <c r="AJ133" i="1"/>
  <c r="AI133" i="1"/>
  <c r="AK132" i="1"/>
  <c r="AJ132" i="1"/>
  <c r="AI132" i="1"/>
  <c r="AK131" i="1"/>
  <c r="AJ131" i="1"/>
  <c r="AI131" i="1"/>
  <c r="AK130" i="1"/>
  <c r="AJ130" i="1"/>
  <c r="AI130" i="1"/>
  <c r="AK129" i="1"/>
  <c r="AJ129" i="1"/>
  <c r="AI129" i="1"/>
  <c r="AK128" i="1"/>
  <c r="AJ128" i="1"/>
  <c r="AI128" i="1"/>
  <c r="AK127" i="1"/>
  <c r="AJ127" i="1"/>
  <c r="AI127" i="1"/>
  <c r="AK126" i="1"/>
  <c r="AJ126" i="1"/>
  <c r="AI126" i="1"/>
  <c r="AK125" i="1"/>
  <c r="AJ125" i="1"/>
  <c r="AI125" i="1"/>
  <c r="AK124" i="1"/>
  <c r="AJ124" i="1"/>
  <c r="AI124" i="1"/>
  <c r="AK123" i="1"/>
  <c r="AJ123" i="1"/>
  <c r="AI123" i="1"/>
  <c r="AK122" i="1"/>
  <c r="AJ122" i="1"/>
  <c r="AI122" i="1"/>
  <c r="AK121" i="1"/>
  <c r="AJ121" i="1"/>
  <c r="AI121" i="1"/>
  <c r="AK120" i="1"/>
  <c r="AJ120" i="1"/>
  <c r="AI120" i="1"/>
  <c r="AK119" i="1"/>
  <c r="AJ119" i="1"/>
  <c r="AI119" i="1"/>
  <c r="AK118" i="1"/>
  <c r="AJ118" i="1"/>
  <c r="AI118" i="1"/>
  <c r="AK117" i="1"/>
  <c r="AJ117" i="1"/>
  <c r="AI117" i="1"/>
  <c r="AK116" i="1"/>
  <c r="AJ116" i="1"/>
  <c r="AI116" i="1"/>
  <c r="AK115" i="1"/>
  <c r="AJ115" i="1"/>
  <c r="AI115" i="1"/>
  <c r="AK114" i="1"/>
  <c r="AJ114" i="1"/>
  <c r="AI114" i="1"/>
  <c r="AK113" i="1"/>
  <c r="AJ113" i="1"/>
  <c r="AI113" i="1"/>
  <c r="AK112" i="1"/>
  <c r="AJ112" i="1"/>
  <c r="AI112" i="1"/>
  <c r="AK111" i="1"/>
  <c r="AJ111" i="1"/>
  <c r="AI111" i="1"/>
  <c r="AK110" i="1"/>
  <c r="AJ110" i="1"/>
  <c r="AI110" i="1"/>
  <c r="AK109" i="1"/>
  <c r="AJ109" i="1"/>
  <c r="AI109" i="1"/>
  <c r="AK108" i="1"/>
  <c r="AJ108" i="1"/>
  <c r="AI108" i="1"/>
  <c r="AK107" i="1"/>
  <c r="AJ107" i="1"/>
  <c r="AI107" i="1"/>
  <c r="AK106" i="1"/>
  <c r="AJ106" i="1"/>
  <c r="AI106" i="1"/>
  <c r="AK105" i="1"/>
  <c r="AJ105" i="1"/>
  <c r="AI105" i="1"/>
  <c r="AK104" i="1"/>
  <c r="AJ104" i="1"/>
  <c r="AI104" i="1"/>
  <c r="AK103" i="1"/>
  <c r="AJ103" i="1"/>
  <c r="AI103" i="1"/>
  <c r="AK102" i="1"/>
  <c r="AJ102" i="1"/>
  <c r="AI102" i="1"/>
  <c r="AK101" i="1"/>
  <c r="AJ101" i="1"/>
  <c r="AI101" i="1"/>
  <c r="AK100" i="1"/>
  <c r="AJ100" i="1"/>
  <c r="AI100" i="1"/>
  <c r="AK99" i="1"/>
  <c r="AJ99" i="1"/>
  <c r="AI99" i="1"/>
  <c r="AK98" i="1"/>
  <c r="AJ98" i="1"/>
  <c r="AI98" i="1"/>
  <c r="AK97" i="1"/>
  <c r="AJ97" i="1"/>
  <c r="AI97" i="1"/>
  <c r="AK96" i="1"/>
  <c r="AJ96" i="1"/>
  <c r="AI96" i="1"/>
  <c r="AK95" i="1"/>
  <c r="AJ95" i="1"/>
  <c r="AI95" i="1"/>
  <c r="AK94" i="1"/>
  <c r="AJ94" i="1"/>
  <c r="AI94" i="1"/>
  <c r="AK93" i="1"/>
  <c r="AJ93" i="1"/>
  <c r="AI93" i="1"/>
  <c r="AK92" i="1"/>
  <c r="AJ92" i="1"/>
  <c r="AI92" i="1"/>
  <c r="AK91" i="1"/>
  <c r="AJ91" i="1"/>
  <c r="AI91" i="1"/>
  <c r="AK90" i="1"/>
  <c r="AJ90" i="1"/>
  <c r="AI90" i="1"/>
  <c r="AK89" i="1"/>
  <c r="AJ89" i="1"/>
  <c r="AI89" i="1"/>
  <c r="AK88" i="1"/>
  <c r="AJ88" i="1"/>
  <c r="AI88" i="1"/>
  <c r="AK87" i="1"/>
  <c r="AJ87" i="1"/>
  <c r="AI87" i="1"/>
  <c r="AK86" i="1"/>
  <c r="AJ86" i="1"/>
  <c r="AI86" i="1"/>
  <c r="AK85" i="1"/>
  <c r="AJ85" i="1"/>
  <c r="AI85" i="1"/>
  <c r="AK84" i="1"/>
  <c r="AJ84" i="1"/>
  <c r="AI84" i="1"/>
  <c r="AK83" i="1"/>
  <c r="AJ83" i="1"/>
  <c r="AI83" i="1"/>
  <c r="AK82" i="1"/>
  <c r="AJ82" i="1"/>
  <c r="AI82" i="1"/>
  <c r="AK81" i="1"/>
  <c r="AJ81" i="1"/>
  <c r="AI81" i="1"/>
  <c r="AK80" i="1"/>
  <c r="AJ80" i="1"/>
  <c r="AI80" i="1"/>
  <c r="AK79" i="1"/>
  <c r="AJ79" i="1"/>
  <c r="AI79" i="1"/>
  <c r="AK78" i="1"/>
  <c r="AJ78" i="1"/>
  <c r="AI78" i="1"/>
  <c r="AK77" i="1"/>
  <c r="AJ77" i="1"/>
  <c r="AI77" i="1"/>
  <c r="AK76" i="1"/>
  <c r="AJ76" i="1"/>
  <c r="AI76" i="1"/>
  <c r="AK75" i="1"/>
  <c r="AJ75" i="1"/>
  <c r="AI75" i="1"/>
  <c r="AK74" i="1"/>
  <c r="AJ74" i="1"/>
  <c r="AI74" i="1"/>
  <c r="AK73" i="1"/>
  <c r="AJ73" i="1"/>
  <c r="AI73" i="1"/>
  <c r="AK72" i="1"/>
  <c r="AJ72" i="1"/>
  <c r="AI72" i="1"/>
  <c r="AK71" i="1"/>
  <c r="AJ71" i="1"/>
  <c r="AI71" i="1"/>
  <c r="AK70" i="1"/>
  <c r="AJ70" i="1"/>
  <c r="AI70" i="1"/>
  <c r="AK69" i="1"/>
  <c r="AJ69" i="1"/>
  <c r="AI69" i="1"/>
  <c r="AK68" i="1"/>
  <c r="AJ68" i="1"/>
  <c r="AI68" i="1"/>
  <c r="AK67" i="1"/>
  <c r="AJ67" i="1"/>
  <c r="AI67" i="1"/>
  <c r="AK66" i="1"/>
  <c r="AJ66" i="1"/>
  <c r="AI66" i="1"/>
  <c r="AK65" i="1"/>
  <c r="AJ65" i="1"/>
  <c r="AI65" i="1"/>
  <c r="AK64" i="1"/>
  <c r="AJ64" i="1"/>
  <c r="AI64" i="1"/>
  <c r="AK63" i="1"/>
  <c r="AJ63" i="1"/>
  <c r="AI63" i="1"/>
  <c r="AK62" i="1"/>
  <c r="AJ62" i="1"/>
  <c r="AI62" i="1"/>
  <c r="AK61" i="1"/>
  <c r="AJ61" i="1"/>
  <c r="AI61" i="1"/>
  <c r="AK60" i="1"/>
  <c r="AJ60" i="1"/>
  <c r="AI60" i="1"/>
  <c r="AK59" i="1"/>
  <c r="AJ59" i="1"/>
  <c r="AI59" i="1"/>
  <c r="AK58" i="1"/>
  <c r="AJ58" i="1"/>
  <c r="AI58" i="1"/>
  <c r="AK57" i="1"/>
  <c r="AJ57" i="1"/>
  <c r="AI57" i="1"/>
  <c r="AK56" i="1"/>
  <c r="AJ56" i="1"/>
  <c r="AI56" i="1"/>
  <c r="AK55" i="1"/>
  <c r="AJ55" i="1"/>
  <c r="AI55" i="1"/>
  <c r="AK54" i="1"/>
  <c r="AJ54" i="1"/>
  <c r="AI54" i="1"/>
  <c r="AK53" i="1"/>
  <c r="AJ53" i="1"/>
  <c r="AI53" i="1"/>
  <c r="AK52" i="1"/>
  <c r="AJ52" i="1"/>
  <c r="AI52" i="1"/>
  <c r="AK51" i="1"/>
  <c r="AJ51" i="1"/>
  <c r="AI51" i="1"/>
  <c r="AK50" i="1"/>
  <c r="AJ50" i="1"/>
  <c r="AI50" i="1"/>
  <c r="AK49" i="1"/>
  <c r="AJ49" i="1"/>
  <c r="AI49" i="1"/>
  <c r="AK48" i="1"/>
  <c r="AJ48" i="1"/>
  <c r="AI48" i="1"/>
  <c r="AK47" i="1"/>
  <c r="AJ47" i="1"/>
  <c r="AI47" i="1"/>
  <c r="AK46" i="1"/>
  <c r="AJ46" i="1"/>
  <c r="AI46" i="1"/>
  <c r="AK45" i="1"/>
  <c r="AJ45" i="1"/>
  <c r="AI45" i="1"/>
  <c r="AK44" i="1"/>
  <c r="AJ44" i="1"/>
  <c r="AI44" i="1"/>
  <c r="AK43" i="1"/>
  <c r="AJ43" i="1"/>
  <c r="AI43" i="1"/>
  <c r="AK42" i="1"/>
  <c r="AJ42" i="1"/>
  <c r="AI42" i="1"/>
  <c r="AK41" i="1"/>
  <c r="AJ41" i="1"/>
  <c r="AI41" i="1"/>
  <c r="AK40" i="1"/>
  <c r="AJ40" i="1"/>
  <c r="AI40" i="1"/>
  <c r="AK39" i="1"/>
  <c r="AJ39" i="1"/>
  <c r="AI39" i="1"/>
  <c r="AK38" i="1"/>
  <c r="AJ38" i="1"/>
  <c r="AI38" i="1"/>
  <c r="AK37" i="1"/>
  <c r="AJ37" i="1"/>
  <c r="AI37" i="1"/>
  <c r="AK36" i="1"/>
  <c r="AJ36" i="1"/>
  <c r="AI36" i="1"/>
  <c r="AK35" i="1"/>
  <c r="AJ35" i="1"/>
  <c r="AI35" i="1"/>
  <c r="AK34" i="1"/>
  <c r="AJ34" i="1"/>
  <c r="AI34" i="1"/>
  <c r="AK33" i="1"/>
  <c r="AJ33" i="1"/>
  <c r="AI33" i="1"/>
  <c r="AK32" i="1"/>
  <c r="AJ32" i="1"/>
  <c r="AI32" i="1"/>
  <c r="AK31" i="1"/>
  <c r="AJ31" i="1"/>
  <c r="AI31" i="1"/>
  <c r="AK30" i="1"/>
  <c r="AJ30" i="1"/>
  <c r="AI30" i="1"/>
  <c r="AK29" i="1"/>
  <c r="AJ29" i="1"/>
  <c r="AI29" i="1"/>
  <c r="AK28" i="1"/>
  <c r="AJ28" i="1"/>
  <c r="AI28" i="1"/>
  <c r="AK27" i="1"/>
  <c r="AJ27" i="1"/>
  <c r="AI27" i="1"/>
  <c r="AK26" i="1"/>
  <c r="AJ26" i="1"/>
  <c r="AI26" i="1"/>
  <c r="AK25" i="1"/>
  <c r="AJ25" i="1"/>
  <c r="AI25" i="1"/>
  <c r="AK24" i="1"/>
  <c r="AJ24" i="1"/>
  <c r="AI24" i="1"/>
  <c r="AK23" i="1"/>
  <c r="AJ23" i="1"/>
  <c r="AI23" i="1"/>
  <c r="AK22" i="1"/>
  <c r="AJ22" i="1"/>
  <c r="AI22" i="1"/>
  <c r="AK21" i="1"/>
  <c r="AJ21" i="1"/>
  <c r="AI21" i="1"/>
  <c r="AK20" i="1"/>
  <c r="AJ20" i="1"/>
  <c r="AI20" i="1"/>
  <c r="AK19" i="1"/>
  <c r="AJ19" i="1"/>
  <c r="AI19" i="1"/>
  <c r="AK18" i="1"/>
  <c r="AJ18" i="1"/>
  <c r="AI18" i="1"/>
  <c r="AK17" i="1"/>
  <c r="AJ17" i="1"/>
  <c r="AI17" i="1"/>
  <c r="AK16" i="1"/>
  <c r="AJ16" i="1"/>
  <c r="AI16" i="1"/>
  <c r="AK15" i="1"/>
  <c r="AJ15" i="1"/>
  <c r="AI15" i="1"/>
  <c r="AK14" i="1"/>
  <c r="AJ14" i="1"/>
  <c r="AI14" i="1"/>
  <c r="AK13" i="1"/>
  <c r="AJ13" i="1"/>
  <c r="AI13" i="1"/>
  <c r="AK12" i="1"/>
  <c r="AJ12" i="1"/>
  <c r="AI12" i="1"/>
  <c r="AK11" i="1"/>
  <c r="AJ11" i="1"/>
  <c r="AI11" i="1"/>
  <c r="AK10" i="1"/>
  <c r="AJ10" i="1"/>
  <c r="AI10" i="1"/>
  <c r="AK9" i="1"/>
  <c r="AJ9" i="1"/>
  <c r="AI9" i="1"/>
  <c r="AK8" i="1"/>
  <c r="AJ8" i="1"/>
  <c r="AI8" i="1"/>
  <c r="AK7" i="1"/>
  <c r="AJ7" i="1"/>
  <c r="AI7" i="1"/>
  <c r="AK6" i="1"/>
  <c r="AJ6" i="1"/>
  <c r="AI6" i="1"/>
  <c r="AK5" i="1"/>
  <c r="AJ5" i="1"/>
  <c r="AI5" i="1"/>
  <c r="AK4" i="1"/>
  <c r="AJ4" i="1"/>
  <c r="AI4" i="1"/>
  <c r="AK3" i="1"/>
  <c r="AJ3" i="1"/>
  <c r="AI3" i="1"/>
  <c r="AH3" i="1"/>
  <c r="AM180" i="1"/>
  <c r="AM179" i="1"/>
  <c r="AM178" i="1"/>
  <c r="AM177" i="1"/>
  <c r="AM176" i="1"/>
  <c r="AM175" i="1"/>
  <c r="AM174" i="1"/>
  <c r="AM173" i="1"/>
  <c r="AM172" i="1"/>
  <c r="AM171" i="1"/>
  <c r="AM170" i="1"/>
  <c r="AM169" i="1"/>
  <c r="AM168" i="1"/>
  <c r="AM167" i="1"/>
  <c r="AM166" i="1"/>
  <c r="AM165" i="1"/>
  <c r="AM164" i="1"/>
  <c r="AM163" i="1"/>
  <c r="AM162" i="1"/>
  <c r="AM161" i="1"/>
  <c r="AM160" i="1"/>
  <c r="AM159" i="1"/>
  <c r="AM158" i="1"/>
  <c r="AM157" i="1"/>
  <c r="AM156" i="1"/>
  <c r="AM155" i="1"/>
  <c r="AM154" i="1"/>
  <c r="AM153" i="1"/>
  <c r="AM152" i="1"/>
  <c r="AM151" i="1"/>
  <c r="AM150" i="1"/>
  <c r="AM149" i="1"/>
  <c r="AM148" i="1"/>
  <c r="AM147" i="1"/>
  <c r="AM146" i="1"/>
  <c r="AM145" i="1"/>
  <c r="AM144" i="1"/>
  <c r="AM143" i="1"/>
  <c r="AM142" i="1"/>
  <c r="AM141" i="1"/>
  <c r="AM140" i="1"/>
  <c r="AM139" i="1"/>
  <c r="AM138" i="1"/>
  <c r="AM137" i="1"/>
  <c r="AM136" i="1"/>
  <c r="AM135" i="1"/>
  <c r="AM134" i="1"/>
  <c r="AM133" i="1"/>
  <c r="AM132" i="1"/>
  <c r="AM131" i="1"/>
  <c r="AM130" i="1"/>
  <c r="AM129" i="1"/>
  <c r="AM128" i="1"/>
  <c r="AM127" i="1"/>
  <c r="AM126" i="1"/>
  <c r="AM125" i="1"/>
  <c r="AM124" i="1"/>
  <c r="AM123" i="1"/>
  <c r="AM122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6" i="1"/>
  <c r="AM5" i="1"/>
  <c r="AM4" i="1"/>
  <c r="AM3" i="1"/>
  <c r="BL3" i="1"/>
  <c r="BK3" i="1"/>
  <c r="BJ3" i="1"/>
  <c r="BI3" i="1"/>
  <c r="BH3" i="1"/>
  <c r="BA3" i="1"/>
  <c r="AZ3" i="1"/>
  <c r="AY3" i="1"/>
  <c r="AX3" i="1"/>
  <c r="AW3" i="1"/>
  <c r="AV3" i="1"/>
  <c r="AU3" i="1"/>
  <c r="AS3" i="1"/>
  <c r="AR3" i="1"/>
  <c r="AQ3" i="1"/>
  <c r="AL3" i="1"/>
  <c r="AB3" i="1"/>
  <c r="AA3" i="1"/>
  <c r="Z3" i="1"/>
  <c r="Y3" i="1"/>
  <c r="X3" i="1"/>
  <c r="W3" i="1"/>
  <c r="V3" i="1"/>
  <c r="U3" i="1"/>
  <c r="AT180" i="1"/>
  <c r="AT179" i="1"/>
  <c r="AT178" i="1"/>
  <c r="AT177" i="1"/>
  <c r="AT176" i="1"/>
  <c r="AT175" i="1"/>
  <c r="AT174" i="1"/>
  <c r="AT173" i="1"/>
  <c r="AT172" i="1"/>
  <c r="AT171" i="1"/>
  <c r="AT170" i="1"/>
  <c r="AT169" i="1"/>
  <c r="AT168" i="1"/>
  <c r="AT167" i="1"/>
  <c r="AT166" i="1"/>
  <c r="AT165" i="1"/>
  <c r="AT164" i="1"/>
  <c r="AT163" i="1"/>
  <c r="AT162" i="1"/>
  <c r="AT161" i="1"/>
  <c r="AT160" i="1"/>
  <c r="AT159" i="1"/>
  <c r="AT158" i="1"/>
  <c r="AT157" i="1"/>
  <c r="AT156" i="1"/>
  <c r="AT155" i="1"/>
  <c r="AT154" i="1"/>
  <c r="AT153" i="1"/>
  <c r="AT152" i="1"/>
  <c r="AT151" i="1"/>
  <c r="AT150" i="1"/>
  <c r="AT149" i="1"/>
  <c r="BM148" i="1" s="1"/>
  <c r="AT148" i="1"/>
  <c r="AT147" i="1"/>
  <c r="AT146" i="1"/>
  <c r="AT145" i="1"/>
  <c r="AT144" i="1"/>
  <c r="AT143" i="1"/>
  <c r="AT142" i="1"/>
  <c r="AT141" i="1"/>
  <c r="AT140" i="1"/>
  <c r="AT139" i="1"/>
  <c r="AT138" i="1"/>
  <c r="AT137" i="1"/>
  <c r="AT136" i="1"/>
  <c r="AT135" i="1"/>
  <c r="AT134" i="1"/>
  <c r="AT133" i="1"/>
  <c r="AT132" i="1"/>
  <c r="AT131" i="1"/>
  <c r="AT130" i="1"/>
  <c r="AT129" i="1"/>
  <c r="AT128" i="1"/>
  <c r="AT127" i="1"/>
  <c r="AT126" i="1"/>
  <c r="AT125" i="1"/>
  <c r="AT124" i="1"/>
  <c r="AT123" i="1"/>
  <c r="AT122" i="1"/>
  <c r="AT121" i="1"/>
  <c r="AT120" i="1"/>
  <c r="AT119" i="1"/>
  <c r="AT118" i="1"/>
  <c r="AT117" i="1"/>
  <c r="AT116" i="1"/>
  <c r="AT115" i="1"/>
  <c r="AT114" i="1"/>
  <c r="AT113" i="1"/>
  <c r="AT112" i="1"/>
  <c r="AT111" i="1"/>
  <c r="AT110" i="1"/>
  <c r="AT109" i="1"/>
  <c r="AT108" i="1"/>
  <c r="AT107" i="1"/>
  <c r="AT106" i="1"/>
  <c r="AT105" i="1"/>
  <c r="AT104" i="1"/>
  <c r="AT103" i="1"/>
  <c r="AT102" i="1"/>
  <c r="AT101" i="1"/>
  <c r="AT100" i="1"/>
  <c r="AT99" i="1"/>
  <c r="AT98" i="1"/>
  <c r="AT97" i="1"/>
  <c r="AT96" i="1"/>
  <c r="AT95" i="1"/>
  <c r="AT94" i="1"/>
  <c r="AT93" i="1"/>
  <c r="AT92" i="1"/>
  <c r="AT91" i="1"/>
  <c r="AT90" i="1"/>
  <c r="AT89" i="1"/>
  <c r="AT88" i="1"/>
  <c r="AT87" i="1"/>
  <c r="AT86" i="1"/>
  <c r="AT85" i="1"/>
  <c r="AT84" i="1"/>
  <c r="AT83" i="1"/>
  <c r="AT82" i="1"/>
  <c r="AT81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T5" i="1"/>
  <c r="BA180" i="1"/>
  <c r="AZ180" i="1"/>
  <c r="AY180" i="1"/>
  <c r="AX180" i="1"/>
  <c r="AW180" i="1"/>
  <c r="BA179" i="1"/>
  <c r="AZ179" i="1"/>
  <c r="AY179" i="1"/>
  <c r="AX179" i="1"/>
  <c r="AW179" i="1"/>
  <c r="BA178" i="1"/>
  <c r="AZ178" i="1"/>
  <c r="AY178" i="1"/>
  <c r="AX178" i="1"/>
  <c r="AW178" i="1"/>
  <c r="BA177" i="1"/>
  <c r="AZ177" i="1"/>
  <c r="AY177" i="1"/>
  <c r="AX177" i="1"/>
  <c r="AW177" i="1"/>
  <c r="BA176" i="1"/>
  <c r="AZ176" i="1"/>
  <c r="AY176" i="1"/>
  <c r="AX176" i="1"/>
  <c r="AW176" i="1"/>
  <c r="BA174" i="1"/>
  <c r="AZ174" i="1"/>
  <c r="AY174" i="1"/>
  <c r="AX174" i="1"/>
  <c r="AW174" i="1"/>
  <c r="BA173" i="1"/>
  <c r="AZ173" i="1"/>
  <c r="AY173" i="1"/>
  <c r="AX173" i="1"/>
  <c r="AW173" i="1"/>
  <c r="BA172" i="1"/>
  <c r="AZ172" i="1"/>
  <c r="AY172" i="1"/>
  <c r="AX172" i="1"/>
  <c r="AW172" i="1"/>
  <c r="BA171" i="1"/>
  <c r="AZ171" i="1"/>
  <c r="AY171" i="1"/>
  <c r="AX171" i="1"/>
  <c r="AW171" i="1"/>
  <c r="BA170" i="1"/>
  <c r="AZ170" i="1"/>
  <c r="AY170" i="1"/>
  <c r="AX170" i="1"/>
  <c r="AW170" i="1"/>
  <c r="BA169" i="1"/>
  <c r="AZ169" i="1"/>
  <c r="AY169" i="1"/>
  <c r="AX169" i="1"/>
  <c r="AW169" i="1"/>
  <c r="BA168" i="1"/>
  <c r="AZ168" i="1"/>
  <c r="AY168" i="1"/>
  <c r="AX168" i="1"/>
  <c r="AW168" i="1"/>
  <c r="BA167" i="1"/>
  <c r="AZ167" i="1"/>
  <c r="AY167" i="1"/>
  <c r="AX167" i="1"/>
  <c r="AW167" i="1"/>
  <c r="BA166" i="1"/>
  <c r="AZ166" i="1"/>
  <c r="AY166" i="1"/>
  <c r="AX166" i="1"/>
  <c r="AW166" i="1"/>
  <c r="BA165" i="1"/>
  <c r="AZ165" i="1"/>
  <c r="AY165" i="1"/>
  <c r="AX165" i="1"/>
  <c r="AW165" i="1"/>
  <c r="BA164" i="1"/>
  <c r="AZ164" i="1"/>
  <c r="AY164" i="1"/>
  <c r="AX164" i="1"/>
  <c r="AW164" i="1"/>
  <c r="BA163" i="1"/>
  <c r="AZ163" i="1"/>
  <c r="AY163" i="1"/>
  <c r="AX163" i="1"/>
  <c r="AW163" i="1"/>
  <c r="BA162" i="1"/>
  <c r="AZ162" i="1"/>
  <c r="AY162" i="1"/>
  <c r="AX162" i="1"/>
  <c r="AW162" i="1"/>
  <c r="BA161" i="1"/>
  <c r="AZ161" i="1"/>
  <c r="AY161" i="1"/>
  <c r="AX161" i="1"/>
  <c r="AW161" i="1"/>
  <c r="BA160" i="1"/>
  <c r="AZ160" i="1"/>
  <c r="AY160" i="1"/>
  <c r="AX160" i="1"/>
  <c r="AW160" i="1"/>
  <c r="BA159" i="1"/>
  <c r="AZ159" i="1"/>
  <c r="AY159" i="1"/>
  <c r="AX159" i="1"/>
  <c r="AW159" i="1"/>
  <c r="BA158" i="1"/>
  <c r="AZ158" i="1"/>
  <c r="AY158" i="1"/>
  <c r="AX158" i="1"/>
  <c r="AW158" i="1"/>
  <c r="BA157" i="1"/>
  <c r="AZ157" i="1"/>
  <c r="AY157" i="1"/>
  <c r="AX157" i="1"/>
  <c r="AW157" i="1"/>
  <c r="BA155" i="1"/>
  <c r="AZ155" i="1"/>
  <c r="AY155" i="1"/>
  <c r="AX155" i="1"/>
  <c r="AW155" i="1"/>
  <c r="BA154" i="1"/>
  <c r="AZ154" i="1"/>
  <c r="AY154" i="1"/>
  <c r="AX154" i="1"/>
  <c r="AW154" i="1"/>
  <c r="BA153" i="1"/>
  <c r="AZ153" i="1"/>
  <c r="AY153" i="1"/>
  <c r="AX153" i="1"/>
  <c r="AW153" i="1"/>
  <c r="BA152" i="1"/>
  <c r="AZ152" i="1"/>
  <c r="AY152" i="1"/>
  <c r="AX152" i="1"/>
  <c r="AW152" i="1"/>
  <c r="BA151" i="1"/>
  <c r="AZ151" i="1"/>
  <c r="AY151" i="1"/>
  <c r="AX151" i="1"/>
  <c r="AW151" i="1"/>
  <c r="BA150" i="1"/>
  <c r="AZ150" i="1"/>
  <c r="AY150" i="1"/>
  <c r="AX150" i="1"/>
  <c r="AW150" i="1"/>
  <c r="BA149" i="1"/>
  <c r="AZ149" i="1"/>
  <c r="AY149" i="1"/>
  <c r="AX149" i="1"/>
  <c r="AW149" i="1"/>
  <c r="BA148" i="1"/>
  <c r="AZ148" i="1"/>
  <c r="AY148" i="1"/>
  <c r="AX148" i="1"/>
  <c r="AW148" i="1"/>
  <c r="BA147" i="1"/>
  <c r="AZ147" i="1"/>
  <c r="AY147" i="1"/>
  <c r="AX147" i="1"/>
  <c r="AW147" i="1"/>
  <c r="BA146" i="1"/>
  <c r="AZ146" i="1"/>
  <c r="AY146" i="1"/>
  <c r="AX146" i="1"/>
  <c r="AW146" i="1"/>
  <c r="BA145" i="1"/>
  <c r="AZ145" i="1"/>
  <c r="AY145" i="1"/>
  <c r="AX145" i="1"/>
  <c r="AW145" i="1"/>
  <c r="BA144" i="1"/>
  <c r="AZ144" i="1"/>
  <c r="AY144" i="1"/>
  <c r="AX144" i="1"/>
  <c r="AW144" i="1"/>
  <c r="BA143" i="1"/>
  <c r="AZ143" i="1"/>
  <c r="AY143" i="1"/>
  <c r="AX143" i="1"/>
  <c r="AW143" i="1"/>
  <c r="BA142" i="1"/>
  <c r="AZ142" i="1"/>
  <c r="AY142" i="1"/>
  <c r="AX142" i="1"/>
  <c r="AW142" i="1"/>
  <c r="BA141" i="1"/>
  <c r="AZ141" i="1"/>
  <c r="AY141" i="1"/>
  <c r="AX141" i="1"/>
  <c r="AW141" i="1"/>
  <c r="BA140" i="1"/>
  <c r="AZ140" i="1"/>
  <c r="AY140" i="1"/>
  <c r="AX140" i="1"/>
  <c r="AW140" i="1"/>
  <c r="BA139" i="1"/>
  <c r="AZ139" i="1"/>
  <c r="AY139" i="1"/>
  <c r="AX139" i="1"/>
  <c r="AW139" i="1"/>
  <c r="BA138" i="1"/>
  <c r="AZ138" i="1"/>
  <c r="AY138" i="1"/>
  <c r="AX138" i="1"/>
  <c r="AW138" i="1"/>
  <c r="BA137" i="1"/>
  <c r="AZ137" i="1"/>
  <c r="AY137" i="1"/>
  <c r="AX137" i="1"/>
  <c r="AW137" i="1"/>
  <c r="BA136" i="1"/>
  <c r="AZ136" i="1"/>
  <c r="AY136" i="1"/>
  <c r="AX136" i="1"/>
  <c r="AW136" i="1"/>
  <c r="BA135" i="1"/>
  <c r="AZ135" i="1"/>
  <c r="AY135" i="1"/>
  <c r="AX135" i="1"/>
  <c r="AW135" i="1"/>
  <c r="BA134" i="1"/>
  <c r="AZ134" i="1"/>
  <c r="AY134" i="1"/>
  <c r="AX134" i="1"/>
  <c r="AW134" i="1"/>
  <c r="BA133" i="1"/>
  <c r="AZ133" i="1"/>
  <c r="AY133" i="1"/>
  <c r="AX133" i="1"/>
  <c r="AW133" i="1"/>
  <c r="BA132" i="1"/>
  <c r="AZ132" i="1"/>
  <c r="AY132" i="1"/>
  <c r="AX132" i="1"/>
  <c r="AW132" i="1"/>
  <c r="BA131" i="1"/>
  <c r="AZ131" i="1"/>
  <c r="AY131" i="1"/>
  <c r="AX131" i="1"/>
  <c r="AW131" i="1"/>
  <c r="BA130" i="1"/>
  <c r="AZ130" i="1"/>
  <c r="AY130" i="1"/>
  <c r="AX130" i="1"/>
  <c r="AW130" i="1"/>
  <c r="BA129" i="1"/>
  <c r="AZ129" i="1"/>
  <c r="AY129" i="1"/>
  <c r="AX129" i="1"/>
  <c r="AW129" i="1"/>
  <c r="BA128" i="1"/>
  <c r="AZ128" i="1"/>
  <c r="AY128" i="1"/>
  <c r="AX128" i="1"/>
  <c r="AW128" i="1"/>
  <c r="BA127" i="1"/>
  <c r="AZ127" i="1"/>
  <c r="AY127" i="1"/>
  <c r="AX127" i="1"/>
  <c r="AW127" i="1"/>
  <c r="BA126" i="1"/>
  <c r="AZ126" i="1"/>
  <c r="AY126" i="1"/>
  <c r="AX126" i="1"/>
  <c r="AW126" i="1"/>
  <c r="BA125" i="1"/>
  <c r="AZ125" i="1"/>
  <c r="AY125" i="1"/>
  <c r="AX125" i="1"/>
  <c r="AW125" i="1"/>
  <c r="BA124" i="1"/>
  <c r="AZ124" i="1"/>
  <c r="AY124" i="1"/>
  <c r="AX124" i="1"/>
  <c r="AW124" i="1"/>
  <c r="BA123" i="1"/>
  <c r="AZ123" i="1"/>
  <c r="AY123" i="1"/>
  <c r="AX123" i="1"/>
  <c r="AW123" i="1"/>
  <c r="BA122" i="1"/>
  <c r="AZ122" i="1"/>
  <c r="AY122" i="1"/>
  <c r="AX122" i="1"/>
  <c r="AW122" i="1"/>
  <c r="BA121" i="1"/>
  <c r="AZ121" i="1"/>
  <c r="AY121" i="1"/>
  <c r="AX121" i="1"/>
  <c r="AW121" i="1"/>
  <c r="BA120" i="1"/>
  <c r="AZ120" i="1"/>
  <c r="AY120" i="1"/>
  <c r="AX120" i="1"/>
  <c r="AW120" i="1"/>
  <c r="BA119" i="1"/>
  <c r="AZ119" i="1"/>
  <c r="AY119" i="1"/>
  <c r="AX119" i="1"/>
  <c r="AW119" i="1"/>
  <c r="BA118" i="1"/>
  <c r="AZ118" i="1"/>
  <c r="AY118" i="1"/>
  <c r="AX118" i="1"/>
  <c r="AW118" i="1"/>
  <c r="BA117" i="1"/>
  <c r="AZ117" i="1"/>
  <c r="AY117" i="1"/>
  <c r="AX117" i="1"/>
  <c r="AW117" i="1"/>
  <c r="BA116" i="1"/>
  <c r="AZ116" i="1"/>
  <c r="AY116" i="1"/>
  <c r="AX116" i="1"/>
  <c r="AW116" i="1"/>
  <c r="BA115" i="1"/>
  <c r="AZ115" i="1"/>
  <c r="AY115" i="1"/>
  <c r="AX115" i="1"/>
  <c r="AW115" i="1"/>
  <c r="BA114" i="1"/>
  <c r="AZ114" i="1"/>
  <c r="AY114" i="1"/>
  <c r="AX114" i="1"/>
  <c r="AW114" i="1"/>
  <c r="BA113" i="1"/>
  <c r="AZ113" i="1"/>
  <c r="AY113" i="1"/>
  <c r="AX113" i="1"/>
  <c r="AW113" i="1"/>
  <c r="BA111" i="1"/>
  <c r="AZ111" i="1"/>
  <c r="AY111" i="1"/>
  <c r="AX111" i="1"/>
  <c r="AW111" i="1"/>
  <c r="BA109" i="1"/>
  <c r="AZ109" i="1"/>
  <c r="AY109" i="1"/>
  <c r="AX109" i="1"/>
  <c r="AW109" i="1"/>
  <c r="BA108" i="1"/>
  <c r="AZ108" i="1"/>
  <c r="AY108" i="1"/>
  <c r="AX108" i="1"/>
  <c r="AW108" i="1"/>
  <c r="BA106" i="1"/>
  <c r="AZ106" i="1"/>
  <c r="AY106" i="1"/>
  <c r="AX106" i="1"/>
  <c r="AW106" i="1"/>
  <c r="BA105" i="1"/>
  <c r="AZ105" i="1"/>
  <c r="AY105" i="1"/>
  <c r="AX105" i="1"/>
  <c r="AW105" i="1"/>
  <c r="BA104" i="1"/>
  <c r="AZ104" i="1"/>
  <c r="AY104" i="1"/>
  <c r="AX104" i="1"/>
  <c r="AW104" i="1"/>
  <c r="BA103" i="1"/>
  <c r="AZ103" i="1"/>
  <c r="AY103" i="1"/>
  <c r="AX103" i="1"/>
  <c r="AW103" i="1"/>
  <c r="BA102" i="1"/>
  <c r="AZ102" i="1"/>
  <c r="AY102" i="1"/>
  <c r="AX102" i="1"/>
  <c r="AW102" i="1"/>
  <c r="BA101" i="1"/>
  <c r="AZ101" i="1"/>
  <c r="AY101" i="1"/>
  <c r="AX101" i="1"/>
  <c r="AW101" i="1"/>
  <c r="BA100" i="1"/>
  <c r="AZ100" i="1"/>
  <c r="AY100" i="1"/>
  <c r="AX100" i="1"/>
  <c r="AW100" i="1"/>
  <c r="BA99" i="1"/>
  <c r="AZ99" i="1"/>
  <c r="AY99" i="1"/>
  <c r="AX99" i="1"/>
  <c r="AW99" i="1"/>
  <c r="BA98" i="1"/>
  <c r="AZ98" i="1"/>
  <c r="AY98" i="1"/>
  <c r="AX98" i="1"/>
  <c r="AW98" i="1"/>
  <c r="BA97" i="1"/>
  <c r="AZ97" i="1"/>
  <c r="AY97" i="1"/>
  <c r="AX97" i="1"/>
  <c r="AW97" i="1"/>
  <c r="BA96" i="1"/>
  <c r="AZ96" i="1"/>
  <c r="AY96" i="1"/>
  <c r="AX96" i="1"/>
  <c r="AW96" i="1"/>
  <c r="BA95" i="1"/>
  <c r="AZ95" i="1"/>
  <c r="AY95" i="1"/>
  <c r="AX95" i="1"/>
  <c r="AW95" i="1"/>
  <c r="BA94" i="1"/>
  <c r="AZ94" i="1"/>
  <c r="AY94" i="1"/>
  <c r="AX94" i="1"/>
  <c r="AW94" i="1"/>
  <c r="BA93" i="1"/>
  <c r="AZ93" i="1"/>
  <c r="AY93" i="1"/>
  <c r="AX93" i="1"/>
  <c r="AW93" i="1"/>
  <c r="BA92" i="1"/>
  <c r="AZ92" i="1"/>
  <c r="AY92" i="1"/>
  <c r="AX92" i="1"/>
  <c r="AW92" i="1"/>
  <c r="BA91" i="1"/>
  <c r="AZ91" i="1"/>
  <c r="AY91" i="1"/>
  <c r="AX91" i="1"/>
  <c r="AW91" i="1"/>
  <c r="BA90" i="1"/>
  <c r="AZ90" i="1"/>
  <c r="AY90" i="1"/>
  <c r="AX90" i="1"/>
  <c r="AW90" i="1"/>
  <c r="BA89" i="1"/>
  <c r="AZ89" i="1"/>
  <c r="AY89" i="1"/>
  <c r="AX89" i="1"/>
  <c r="AW89" i="1"/>
  <c r="BA88" i="1"/>
  <c r="AZ88" i="1"/>
  <c r="AY88" i="1"/>
  <c r="AX88" i="1"/>
  <c r="AW88" i="1"/>
  <c r="BA87" i="1"/>
  <c r="AZ87" i="1"/>
  <c r="AY87" i="1"/>
  <c r="AX87" i="1"/>
  <c r="AW87" i="1"/>
  <c r="BA86" i="1"/>
  <c r="AZ86" i="1"/>
  <c r="AY86" i="1"/>
  <c r="AX86" i="1"/>
  <c r="AW86" i="1"/>
  <c r="BA85" i="1"/>
  <c r="AZ85" i="1"/>
  <c r="AY85" i="1"/>
  <c r="AX85" i="1"/>
  <c r="AW85" i="1"/>
  <c r="BA84" i="1"/>
  <c r="AZ84" i="1"/>
  <c r="AY84" i="1"/>
  <c r="AX84" i="1"/>
  <c r="AW84" i="1"/>
  <c r="BA83" i="1"/>
  <c r="AZ83" i="1"/>
  <c r="AY83" i="1"/>
  <c r="AX83" i="1"/>
  <c r="AW83" i="1"/>
  <c r="BA82" i="1"/>
  <c r="AZ82" i="1"/>
  <c r="AY82" i="1"/>
  <c r="AX82" i="1"/>
  <c r="AW82" i="1"/>
  <c r="BA81" i="1"/>
  <c r="AZ81" i="1"/>
  <c r="AY81" i="1"/>
  <c r="AX81" i="1"/>
  <c r="AW81" i="1"/>
  <c r="BA80" i="1"/>
  <c r="AZ80" i="1"/>
  <c r="AY80" i="1"/>
  <c r="AX80" i="1"/>
  <c r="AW80" i="1"/>
  <c r="BA79" i="1"/>
  <c r="AZ79" i="1"/>
  <c r="AY79" i="1"/>
  <c r="AX79" i="1"/>
  <c r="AW79" i="1"/>
  <c r="BA78" i="1"/>
  <c r="AZ78" i="1"/>
  <c r="AY78" i="1"/>
  <c r="AX78" i="1"/>
  <c r="AW78" i="1"/>
  <c r="BA77" i="1"/>
  <c r="AZ77" i="1"/>
  <c r="AY77" i="1"/>
  <c r="AX77" i="1"/>
  <c r="AW77" i="1"/>
  <c r="BA76" i="1"/>
  <c r="AZ76" i="1"/>
  <c r="AY76" i="1"/>
  <c r="AX76" i="1"/>
  <c r="AW76" i="1"/>
  <c r="BA75" i="1"/>
  <c r="AZ75" i="1"/>
  <c r="AY75" i="1"/>
  <c r="AX75" i="1"/>
  <c r="AW75" i="1"/>
  <c r="BA74" i="1"/>
  <c r="AZ74" i="1"/>
  <c r="AY74" i="1"/>
  <c r="AX74" i="1"/>
  <c r="AW74" i="1"/>
  <c r="BA73" i="1"/>
  <c r="AZ73" i="1"/>
  <c r="AY73" i="1"/>
  <c r="AX73" i="1"/>
  <c r="AW73" i="1"/>
  <c r="BA72" i="1"/>
  <c r="AZ72" i="1"/>
  <c r="AY72" i="1"/>
  <c r="AX72" i="1"/>
  <c r="AW72" i="1"/>
  <c r="BA71" i="1"/>
  <c r="AZ71" i="1"/>
  <c r="AY71" i="1"/>
  <c r="AX71" i="1"/>
  <c r="AW71" i="1"/>
  <c r="BA70" i="1"/>
  <c r="AZ70" i="1"/>
  <c r="AY70" i="1"/>
  <c r="AX70" i="1"/>
  <c r="AW70" i="1"/>
  <c r="BA69" i="1"/>
  <c r="AZ69" i="1"/>
  <c r="AY69" i="1"/>
  <c r="AX69" i="1"/>
  <c r="AW69" i="1"/>
  <c r="BA68" i="1"/>
  <c r="AZ68" i="1"/>
  <c r="AY68" i="1"/>
  <c r="AX68" i="1"/>
  <c r="AW68" i="1"/>
  <c r="BA67" i="1"/>
  <c r="AZ67" i="1"/>
  <c r="AY67" i="1"/>
  <c r="AX67" i="1"/>
  <c r="AW67" i="1"/>
  <c r="BA66" i="1"/>
  <c r="AZ66" i="1"/>
  <c r="AY66" i="1"/>
  <c r="AX66" i="1"/>
  <c r="AW66" i="1"/>
  <c r="BA65" i="1"/>
  <c r="AZ65" i="1"/>
  <c r="AY65" i="1"/>
  <c r="AX65" i="1"/>
  <c r="AW65" i="1"/>
  <c r="BA64" i="1"/>
  <c r="AZ64" i="1"/>
  <c r="AY64" i="1"/>
  <c r="AX64" i="1"/>
  <c r="AW64" i="1"/>
  <c r="BA63" i="1"/>
  <c r="AZ63" i="1"/>
  <c r="AY63" i="1"/>
  <c r="AX63" i="1"/>
  <c r="AW63" i="1"/>
  <c r="BA62" i="1"/>
  <c r="AZ62" i="1"/>
  <c r="AY62" i="1"/>
  <c r="AX62" i="1"/>
  <c r="AW62" i="1"/>
  <c r="BA61" i="1"/>
  <c r="AZ61" i="1"/>
  <c r="AY61" i="1"/>
  <c r="AX61" i="1"/>
  <c r="AW61" i="1"/>
  <c r="BA60" i="1"/>
  <c r="AZ60" i="1"/>
  <c r="AY60" i="1"/>
  <c r="AX60" i="1"/>
  <c r="AW60" i="1"/>
  <c r="BA59" i="1"/>
  <c r="AZ59" i="1"/>
  <c r="AY59" i="1"/>
  <c r="AX59" i="1"/>
  <c r="AW59" i="1"/>
  <c r="BA58" i="1"/>
  <c r="AZ58" i="1"/>
  <c r="AY58" i="1"/>
  <c r="AX58" i="1"/>
  <c r="AW58" i="1"/>
  <c r="BA57" i="1"/>
  <c r="AZ57" i="1"/>
  <c r="AY57" i="1"/>
  <c r="AX57" i="1"/>
  <c r="AW57" i="1"/>
  <c r="BA56" i="1"/>
  <c r="AZ56" i="1"/>
  <c r="AY56" i="1"/>
  <c r="AX56" i="1"/>
  <c r="AW56" i="1"/>
  <c r="BA55" i="1"/>
  <c r="AZ55" i="1"/>
  <c r="AY55" i="1"/>
  <c r="AX55" i="1"/>
  <c r="AW55" i="1"/>
  <c r="BA54" i="1"/>
  <c r="AZ54" i="1"/>
  <c r="AY54" i="1"/>
  <c r="AX54" i="1"/>
  <c r="AW54" i="1"/>
  <c r="BA53" i="1"/>
  <c r="AZ53" i="1"/>
  <c r="AY53" i="1"/>
  <c r="AX53" i="1"/>
  <c r="AW53" i="1"/>
  <c r="BA52" i="1"/>
  <c r="AZ52" i="1"/>
  <c r="AY52" i="1"/>
  <c r="AX52" i="1"/>
  <c r="AW52" i="1"/>
  <c r="BA51" i="1"/>
  <c r="AZ51" i="1"/>
  <c r="AY51" i="1"/>
  <c r="AX51" i="1"/>
  <c r="AW51" i="1"/>
  <c r="BA50" i="1"/>
  <c r="AZ50" i="1"/>
  <c r="AY50" i="1"/>
  <c r="AX50" i="1"/>
  <c r="AW50" i="1"/>
  <c r="BA49" i="1"/>
  <c r="AZ49" i="1"/>
  <c r="AY49" i="1"/>
  <c r="AX49" i="1"/>
  <c r="AW49" i="1"/>
  <c r="BA48" i="1"/>
  <c r="AZ48" i="1"/>
  <c r="AY48" i="1"/>
  <c r="AX48" i="1"/>
  <c r="AW48" i="1"/>
  <c r="BA47" i="1"/>
  <c r="AZ47" i="1"/>
  <c r="AY47" i="1"/>
  <c r="AX47" i="1"/>
  <c r="AW47" i="1"/>
  <c r="BA46" i="1"/>
  <c r="AZ46" i="1"/>
  <c r="AY46" i="1"/>
  <c r="AX46" i="1"/>
  <c r="AW46" i="1"/>
  <c r="BA45" i="1"/>
  <c r="AZ45" i="1"/>
  <c r="AY45" i="1"/>
  <c r="AX45" i="1"/>
  <c r="AW45" i="1"/>
  <c r="BA44" i="1"/>
  <c r="AZ44" i="1"/>
  <c r="AY44" i="1"/>
  <c r="AX44" i="1"/>
  <c r="AW44" i="1"/>
  <c r="BA43" i="1"/>
  <c r="AZ43" i="1"/>
  <c r="AY43" i="1"/>
  <c r="AX43" i="1"/>
  <c r="AW43" i="1"/>
  <c r="BA42" i="1"/>
  <c r="AZ42" i="1"/>
  <c r="AY42" i="1"/>
  <c r="AX42" i="1"/>
  <c r="AW42" i="1"/>
  <c r="BA41" i="1"/>
  <c r="AZ41" i="1"/>
  <c r="AY41" i="1"/>
  <c r="AX41" i="1"/>
  <c r="AW41" i="1"/>
  <c r="BA40" i="1"/>
  <c r="AZ40" i="1"/>
  <c r="AY40" i="1"/>
  <c r="AX40" i="1"/>
  <c r="AW40" i="1"/>
  <c r="BA39" i="1"/>
  <c r="AZ39" i="1"/>
  <c r="AY39" i="1"/>
  <c r="AX39" i="1"/>
  <c r="AW39" i="1"/>
  <c r="BA38" i="1"/>
  <c r="AZ38" i="1"/>
  <c r="AY38" i="1"/>
  <c r="AX38" i="1"/>
  <c r="AW38" i="1"/>
  <c r="BA37" i="1"/>
  <c r="AZ37" i="1"/>
  <c r="AY37" i="1"/>
  <c r="AX37" i="1"/>
  <c r="AW37" i="1"/>
  <c r="BA36" i="1"/>
  <c r="AZ36" i="1"/>
  <c r="AY36" i="1"/>
  <c r="AX36" i="1"/>
  <c r="AW36" i="1"/>
  <c r="BA35" i="1"/>
  <c r="AZ35" i="1"/>
  <c r="AY35" i="1"/>
  <c r="AX35" i="1"/>
  <c r="AW35" i="1"/>
  <c r="BA34" i="1"/>
  <c r="AZ34" i="1"/>
  <c r="AY34" i="1"/>
  <c r="AX34" i="1"/>
  <c r="AW34" i="1"/>
  <c r="BA33" i="1"/>
  <c r="AZ33" i="1"/>
  <c r="AY33" i="1"/>
  <c r="AX33" i="1"/>
  <c r="AW33" i="1"/>
  <c r="BA32" i="1"/>
  <c r="AZ32" i="1"/>
  <c r="AY32" i="1"/>
  <c r="AX32" i="1"/>
  <c r="AW32" i="1"/>
  <c r="BA31" i="1"/>
  <c r="AZ31" i="1"/>
  <c r="AY31" i="1"/>
  <c r="AX31" i="1"/>
  <c r="AW31" i="1"/>
  <c r="BA30" i="1"/>
  <c r="AZ30" i="1"/>
  <c r="AY30" i="1"/>
  <c r="AX30" i="1"/>
  <c r="AW30" i="1"/>
  <c r="BA29" i="1"/>
  <c r="AZ29" i="1"/>
  <c r="AY29" i="1"/>
  <c r="AX29" i="1"/>
  <c r="AW29" i="1"/>
  <c r="BA28" i="1"/>
  <c r="AZ28" i="1"/>
  <c r="AY28" i="1"/>
  <c r="AX28" i="1"/>
  <c r="AW28" i="1"/>
  <c r="BA27" i="1"/>
  <c r="AZ27" i="1"/>
  <c r="AY27" i="1"/>
  <c r="AX27" i="1"/>
  <c r="AW27" i="1"/>
  <c r="BA26" i="1"/>
  <c r="AZ26" i="1"/>
  <c r="AY26" i="1"/>
  <c r="AX26" i="1"/>
  <c r="AW26" i="1"/>
  <c r="BA25" i="1"/>
  <c r="AZ25" i="1"/>
  <c r="AY25" i="1"/>
  <c r="AX25" i="1"/>
  <c r="AW25" i="1"/>
  <c r="BA24" i="1"/>
  <c r="AZ24" i="1"/>
  <c r="AY24" i="1"/>
  <c r="AX24" i="1"/>
  <c r="AW24" i="1"/>
  <c r="BA23" i="1"/>
  <c r="AZ23" i="1"/>
  <c r="AY23" i="1"/>
  <c r="AX23" i="1"/>
  <c r="AW23" i="1"/>
  <c r="BA22" i="1"/>
  <c r="AZ22" i="1"/>
  <c r="AY22" i="1"/>
  <c r="AX22" i="1"/>
  <c r="AW22" i="1"/>
  <c r="BA21" i="1"/>
  <c r="AZ21" i="1"/>
  <c r="AY21" i="1"/>
  <c r="AX21" i="1"/>
  <c r="AW21" i="1"/>
  <c r="BA20" i="1"/>
  <c r="AZ20" i="1"/>
  <c r="AY20" i="1"/>
  <c r="AX20" i="1"/>
  <c r="AW20" i="1"/>
  <c r="BA19" i="1"/>
  <c r="AZ19" i="1"/>
  <c r="AY19" i="1"/>
  <c r="AX19" i="1"/>
  <c r="AW19" i="1"/>
  <c r="BA18" i="1"/>
  <c r="AZ18" i="1"/>
  <c r="AY18" i="1"/>
  <c r="AX18" i="1"/>
  <c r="AW18" i="1"/>
  <c r="BA17" i="1"/>
  <c r="AZ17" i="1"/>
  <c r="AY17" i="1"/>
  <c r="AX17" i="1"/>
  <c r="AW17" i="1"/>
  <c r="BA16" i="1"/>
  <c r="AZ16" i="1"/>
  <c r="AY16" i="1"/>
  <c r="AX16" i="1"/>
  <c r="AW16" i="1"/>
  <c r="BA15" i="1"/>
  <c r="AZ15" i="1"/>
  <c r="AY15" i="1"/>
  <c r="AX15" i="1"/>
  <c r="AW15" i="1"/>
  <c r="BA14" i="1"/>
  <c r="AZ14" i="1"/>
  <c r="AY14" i="1"/>
  <c r="AX14" i="1"/>
  <c r="AW14" i="1"/>
  <c r="BA13" i="1"/>
  <c r="AZ13" i="1"/>
  <c r="AY13" i="1"/>
  <c r="AX13" i="1"/>
  <c r="AW13" i="1"/>
  <c r="BA12" i="1"/>
  <c r="AZ12" i="1"/>
  <c r="AY12" i="1"/>
  <c r="AX12" i="1"/>
  <c r="AW12" i="1"/>
  <c r="BA11" i="1"/>
  <c r="AZ11" i="1"/>
  <c r="AY11" i="1"/>
  <c r="AX11" i="1"/>
  <c r="AW11" i="1"/>
  <c r="BA10" i="1"/>
  <c r="AZ10" i="1"/>
  <c r="AY10" i="1"/>
  <c r="AX10" i="1"/>
  <c r="AW10" i="1"/>
  <c r="BA9" i="1"/>
  <c r="AZ9" i="1"/>
  <c r="AY9" i="1"/>
  <c r="AX9" i="1"/>
  <c r="AW9" i="1"/>
  <c r="BA8" i="1"/>
  <c r="AZ8" i="1"/>
  <c r="AY8" i="1"/>
  <c r="AX8" i="1"/>
  <c r="AW8" i="1"/>
  <c r="BA7" i="1"/>
  <c r="AZ7" i="1"/>
  <c r="AY7" i="1"/>
  <c r="AX7" i="1"/>
  <c r="AW7" i="1"/>
  <c r="BA6" i="1"/>
  <c r="AZ6" i="1"/>
  <c r="AY6" i="1"/>
  <c r="AX6" i="1"/>
  <c r="AW6" i="1"/>
  <c r="BA5" i="1"/>
  <c r="AZ5" i="1"/>
  <c r="AY5" i="1"/>
  <c r="AX5" i="1"/>
  <c r="AW5" i="1"/>
  <c r="BA4" i="1"/>
  <c r="AZ4" i="1"/>
  <c r="AY4" i="1"/>
  <c r="AX4" i="1"/>
  <c r="AW4" i="1"/>
  <c r="AB180" i="1"/>
  <c r="AA180" i="1"/>
  <c r="Z180" i="1"/>
  <c r="Y180" i="1"/>
  <c r="X180" i="1"/>
  <c r="AB179" i="1"/>
  <c r="AA179" i="1"/>
  <c r="Z179" i="1"/>
  <c r="Y179" i="1"/>
  <c r="X179" i="1"/>
  <c r="AB178" i="1"/>
  <c r="AA178" i="1"/>
  <c r="Z178" i="1"/>
  <c r="Y178" i="1"/>
  <c r="X178" i="1"/>
  <c r="AB177" i="1"/>
  <c r="AA177" i="1"/>
  <c r="Z177" i="1"/>
  <c r="Y177" i="1"/>
  <c r="X177" i="1"/>
  <c r="AB176" i="1"/>
  <c r="AA176" i="1"/>
  <c r="Z176" i="1"/>
  <c r="Y176" i="1"/>
  <c r="X176" i="1"/>
  <c r="AB174" i="1"/>
  <c r="AA174" i="1"/>
  <c r="Z174" i="1"/>
  <c r="Y174" i="1"/>
  <c r="X174" i="1"/>
  <c r="AB173" i="1"/>
  <c r="AA173" i="1"/>
  <c r="Z173" i="1"/>
  <c r="Y173" i="1"/>
  <c r="X173" i="1"/>
  <c r="AB172" i="1"/>
  <c r="AA172" i="1"/>
  <c r="Z172" i="1"/>
  <c r="Y172" i="1"/>
  <c r="X172" i="1"/>
  <c r="AB171" i="1"/>
  <c r="AA171" i="1"/>
  <c r="Z171" i="1"/>
  <c r="Y171" i="1"/>
  <c r="X171" i="1"/>
  <c r="AB170" i="1"/>
  <c r="AA170" i="1"/>
  <c r="Z170" i="1"/>
  <c r="Y170" i="1"/>
  <c r="X170" i="1"/>
  <c r="AB169" i="1"/>
  <c r="AA169" i="1"/>
  <c r="Z169" i="1"/>
  <c r="Y169" i="1"/>
  <c r="X169" i="1"/>
  <c r="AB168" i="1"/>
  <c r="AA168" i="1"/>
  <c r="Z168" i="1"/>
  <c r="Y168" i="1"/>
  <c r="X168" i="1"/>
  <c r="AB167" i="1"/>
  <c r="AA167" i="1"/>
  <c r="Z167" i="1"/>
  <c r="Y167" i="1"/>
  <c r="X167" i="1"/>
  <c r="AB166" i="1"/>
  <c r="AA166" i="1"/>
  <c r="Z166" i="1"/>
  <c r="Y166" i="1"/>
  <c r="X166" i="1"/>
  <c r="AB165" i="1"/>
  <c r="AA165" i="1"/>
  <c r="Z165" i="1"/>
  <c r="Y165" i="1"/>
  <c r="X165" i="1"/>
  <c r="AB164" i="1"/>
  <c r="AA164" i="1"/>
  <c r="Z164" i="1"/>
  <c r="Y164" i="1"/>
  <c r="X164" i="1"/>
  <c r="AB163" i="1"/>
  <c r="AA163" i="1"/>
  <c r="Z163" i="1"/>
  <c r="Y163" i="1"/>
  <c r="X163" i="1"/>
  <c r="AB162" i="1"/>
  <c r="AA162" i="1"/>
  <c r="Z162" i="1"/>
  <c r="Y162" i="1"/>
  <c r="X162" i="1"/>
  <c r="AB161" i="1"/>
  <c r="AA161" i="1"/>
  <c r="Z161" i="1"/>
  <c r="Y161" i="1"/>
  <c r="X161" i="1"/>
  <c r="AB160" i="1"/>
  <c r="AA160" i="1"/>
  <c r="Z160" i="1"/>
  <c r="Y160" i="1"/>
  <c r="X160" i="1"/>
  <c r="AB159" i="1"/>
  <c r="AA159" i="1"/>
  <c r="Z159" i="1"/>
  <c r="Y159" i="1"/>
  <c r="X159" i="1"/>
  <c r="AB158" i="1"/>
  <c r="AA158" i="1"/>
  <c r="Z158" i="1"/>
  <c r="Y158" i="1"/>
  <c r="X158" i="1"/>
  <c r="AB157" i="1"/>
  <c r="AA157" i="1"/>
  <c r="Z157" i="1"/>
  <c r="Y157" i="1"/>
  <c r="X157" i="1"/>
  <c r="AB155" i="1"/>
  <c r="AA155" i="1"/>
  <c r="Z155" i="1"/>
  <c r="Y155" i="1"/>
  <c r="X155" i="1"/>
  <c r="AB154" i="1"/>
  <c r="AA154" i="1"/>
  <c r="Z154" i="1"/>
  <c r="Y154" i="1"/>
  <c r="X154" i="1"/>
  <c r="AB153" i="1"/>
  <c r="AA153" i="1"/>
  <c r="Z153" i="1"/>
  <c r="Y153" i="1"/>
  <c r="X153" i="1"/>
  <c r="AB152" i="1"/>
  <c r="AA152" i="1"/>
  <c r="Z152" i="1"/>
  <c r="Y152" i="1"/>
  <c r="X152" i="1"/>
  <c r="AB151" i="1"/>
  <c r="AA151" i="1"/>
  <c r="Z151" i="1"/>
  <c r="Y151" i="1"/>
  <c r="X151" i="1"/>
  <c r="AB150" i="1"/>
  <c r="AA150" i="1"/>
  <c r="Z150" i="1"/>
  <c r="Y150" i="1"/>
  <c r="X150" i="1"/>
  <c r="AB149" i="1"/>
  <c r="AA149" i="1"/>
  <c r="Z149" i="1"/>
  <c r="Y149" i="1"/>
  <c r="X149" i="1"/>
  <c r="AB148" i="1"/>
  <c r="AA148" i="1"/>
  <c r="Z148" i="1"/>
  <c r="Y148" i="1"/>
  <c r="X148" i="1"/>
  <c r="AB147" i="1"/>
  <c r="AA147" i="1"/>
  <c r="Z147" i="1"/>
  <c r="Y147" i="1"/>
  <c r="X147" i="1"/>
  <c r="AB146" i="1"/>
  <c r="AA146" i="1"/>
  <c r="Z146" i="1"/>
  <c r="Y146" i="1"/>
  <c r="X146" i="1"/>
  <c r="AB145" i="1"/>
  <c r="AA145" i="1"/>
  <c r="Z145" i="1"/>
  <c r="Y145" i="1"/>
  <c r="X145" i="1"/>
  <c r="AB144" i="1"/>
  <c r="AA144" i="1"/>
  <c r="Z144" i="1"/>
  <c r="Y144" i="1"/>
  <c r="X144" i="1"/>
  <c r="AB143" i="1"/>
  <c r="AA143" i="1"/>
  <c r="Z143" i="1"/>
  <c r="Y143" i="1"/>
  <c r="X143" i="1"/>
  <c r="AB142" i="1"/>
  <c r="AA142" i="1"/>
  <c r="Z142" i="1"/>
  <c r="Y142" i="1"/>
  <c r="X142" i="1"/>
  <c r="AB141" i="1"/>
  <c r="AA141" i="1"/>
  <c r="Z141" i="1"/>
  <c r="Y141" i="1"/>
  <c r="X141" i="1"/>
  <c r="AB140" i="1"/>
  <c r="AA140" i="1"/>
  <c r="Z140" i="1"/>
  <c r="Y140" i="1"/>
  <c r="X140" i="1"/>
  <c r="AB139" i="1"/>
  <c r="AA139" i="1"/>
  <c r="Z139" i="1"/>
  <c r="Y139" i="1"/>
  <c r="X139" i="1"/>
  <c r="AB138" i="1"/>
  <c r="AA138" i="1"/>
  <c r="Z138" i="1"/>
  <c r="Y138" i="1"/>
  <c r="X138" i="1"/>
  <c r="AB137" i="1"/>
  <c r="AA137" i="1"/>
  <c r="Z137" i="1"/>
  <c r="Y137" i="1"/>
  <c r="X137" i="1"/>
  <c r="AB136" i="1"/>
  <c r="AA136" i="1"/>
  <c r="Z136" i="1"/>
  <c r="Y136" i="1"/>
  <c r="X136" i="1"/>
  <c r="AB135" i="1"/>
  <c r="AA135" i="1"/>
  <c r="Z135" i="1"/>
  <c r="Y135" i="1"/>
  <c r="X135" i="1"/>
  <c r="AB134" i="1"/>
  <c r="AA134" i="1"/>
  <c r="Z134" i="1"/>
  <c r="Y134" i="1"/>
  <c r="X134" i="1"/>
  <c r="AB133" i="1"/>
  <c r="AA133" i="1"/>
  <c r="Z133" i="1"/>
  <c r="Y133" i="1"/>
  <c r="X133" i="1"/>
  <c r="AB132" i="1"/>
  <c r="AA132" i="1"/>
  <c r="Z132" i="1"/>
  <c r="Y132" i="1"/>
  <c r="X132" i="1"/>
  <c r="AB131" i="1"/>
  <c r="AA131" i="1"/>
  <c r="Z131" i="1"/>
  <c r="Y131" i="1"/>
  <c r="X131" i="1"/>
  <c r="AB130" i="1"/>
  <c r="AA130" i="1"/>
  <c r="Z130" i="1"/>
  <c r="Y130" i="1"/>
  <c r="X130" i="1"/>
  <c r="AB129" i="1"/>
  <c r="AA129" i="1"/>
  <c r="Z129" i="1"/>
  <c r="Y129" i="1"/>
  <c r="X129" i="1"/>
  <c r="AB128" i="1"/>
  <c r="AA128" i="1"/>
  <c r="Z128" i="1"/>
  <c r="Y128" i="1"/>
  <c r="X128" i="1"/>
  <c r="AB127" i="1"/>
  <c r="AA127" i="1"/>
  <c r="Z127" i="1"/>
  <c r="Y127" i="1"/>
  <c r="X127" i="1"/>
  <c r="AB126" i="1"/>
  <c r="AA126" i="1"/>
  <c r="Z126" i="1"/>
  <c r="Y126" i="1"/>
  <c r="X126" i="1"/>
  <c r="AB124" i="1"/>
  <c r="AA124" i="1"/>
  <c r="Z124" i="1"/>
  <c r="Y124" i="1"/>
  <c r="X124" i="1"/>
  <c r="AB123" i="1"/>
  <c r="AA123" i="1"/>
  <c r="Z123" i="1"/>
  <c r="Y123" i="1"/>
  <c r="X123" i="1"/>
  <c r="AB122" i="1"/>
  <c r="AA122" i="1"/>
  <c r="Z122" i="1"/>
  <c r="Y122" i="1"/>
  <c r="X122" i="1"/>
  <c r="AB121" i="1"/>
  <c r="AA121" i="1"/>
  <c r="Z121" i="1"/>
  <c r="Y121" i="1"/>
  <c r="X121" i="1"/>
  <c r="AB120" i="1"/>
  <c r="AA120" i="1"/>
  <c r="Z120" i="1"/>
  <c r="Y120" i="1"/>
  <c r="X120" i="1"/>
  <c r="AB119" i="1"/>
  <c r="AA119" i="1"/>
  <c r="Z119" i="1"/>
  <c r="Y119" i="1"/>
  <c r="X119" i="1"/>
  <c r="AB118" i="1"/>
  <c r="AA118" i="1"/>
  <c r="Z118" i="1"/>
  <c r="Y118" i="1"/>
  <c r="X118" i="1"/>
  <c r="AB117" i="1"/>
  <c r="AA117" i="1"/>
  <c r="Z117" i="1"/>
  <c r="Y117" i="1"/>
  <c r="X117" i="1"/>
  <c r="AB116" i="1"/>
  <c r="AA116" i="1"/>
  <c r="Z116" i="1"/>
  <c r="Y116" i="1"/>
  <c r="X116" i="1"/>
  <c r="AB115" i="1"/>
  <c r="AA115" i="1"/>
  <c r="Z115" i="1"/>
  <c r="Y115" i="1"/>
  <c r="X115" i="1"/>
  <c r="AB114" i="1"/>
  <c r="AA114" i="1"/>
  <c r="Z114" i="1"/>
  <c r="Y114" i="1"/>
  <c r="X114" i="1"/>
  <c r="AB113" i="1"/>
  <c r="AA113" i="1"/>
  <c r="Z113" i="1"/>
  <c r="Y113" i="1"/>
  <c r="X113" i="1"/>
  <c r="AB111" i="1"/>
  <c r="AA111" i="1"/>
  <c r="Z111" i="1"/>
  <c r="Y111" i="1"/>
  <c r="X111" i="1"/>
  <c r="AB109" i="1"/>
  <c r="AA109" i="1"/>
  <c r="Z109" i="1"/>
  <c r="Y109" i="1"/>
  <c r="X109" i="1"/>
  <c r="AB108" i="1"/>
  <c r="AA108" i="1"/>
  <c r="Z108" i="1"/>
  <c r="Y108" i="1"/>
  <c r="X108" i="1"/>
  <c r="AB106" i="1"/>
  <c r="AA106" i="1"/>
  <c r="Z106" i="1"/>
  <c r="Y106" i="1"/>
  <c r="X106" i="1"/>
  <c r="AB105" i="1"/>
  <c r="AA105" i="1"/>
  <c r="Z105" i="1"/>
  <c r="Y105" i="1"/>
  <c r="X105" i="1"/>
  <c r="AB104" i="1"/>
  <c r="AA104" i="1"/>
  <c r="Z104" i="1"/>
  <c r="Y104" i="1"/>
  <c r="X104" i="1"/>
  <c r="AB103" i="1"/>
  <c r="AA103" i="1"/>
  <c r="Z103" i="1"/>
  <c r="Y103" i="1"/>
  <c r="X103" i="1"/>
  <c r="AB102" i="1"/>
  <c r="AA102" i="1"/>
  <c r="Z102" i="1"/>
  <c r="Y102" i="1"/>
  <c r="X102" i="1"/>
  <c r="AB101" i="1"/>
  <c r="AA101" i="1"/>
  <c r="Z101" i="1"/>
  <c r="Y101" i="1"/>
  <c r="X101" i="1"/>
  <c r="AB100" i="1"/>
  <c r="AA100" i="1"/>
  <c r="Z100" i="1"/>
  <c r="Y100" i="1"/>
  <c r="X100" i="1"/>
  <c r="AB99" i="1"/>
  <c r="AA99" i="1"/>
  <c r="Z99" i="1"/>
  <c r="Y99" i="1"/>
  <c r="X99" i="1"/>
  <c r="AB98" i="1"/>
  <c r="AA98" i="1"/>
  <c r="Z98" i="1"/>
  <c r="Y98" i="1"/>
  <c r="X98" i="1"/>
  <c r="AB97" i="1"/>
  <c r="AA97" i="1"/>
  <c r="Z97" i="1"/>
  <c r="Y97" i="1"/>
  <c r="X97" i="1"/>
  <c r="AB96" i="1"/>
  <c r="AA96" i="1"/>
  <c r="Z96" i="1"/>
  <c r="Y96" i="1"/>
  <c r="X96" i="1"/>
  <c r="AB95" i="1"/>
  <c r="AA95" i="1"/>
  <c r="Z95" i="1"/>
  <c r="Y95" i="1"/>
  <c r="X95" i="1"/>
  <c r="AB94" i="1"/>
  <c r="AA94" i="1"/>
  <c r="Z94" i="1"/>
  <c r="Y94" i="1"/>
  <c r="X94" i="1"/>
  <c r="AB93" i="1"/>
  <c r="AA93" i="1"/>
  <c r="Z93" i="1"/>
  <c r="Y93" i="1"/>
  <c r="X93" i="1"/>
  <c r="AB92" i="1"/>
  <c r="AA92" i="1"/>
  <c r="Z92" i="1"/>
  <c r="Y92" i="1"/>
  <c r="X92" i="1"/>
  <c r="AB91" i="1"/>
  <c r="AA91" i="1"/>
  <c r="Z91" i="1"/>
  <c r="Y91" i="1"/>
  <c r="X91" i="1"/>
  <c r="AB90" i="1"/>
  <c r="AA90" i="1"/>
  <c r="Z90" i="1"/>
  <c r="Y90" i="1"/>
  <c r="X90" i="1"/>
  <c r="AB89" i="1"/>
  <c r="AA89" i="1"/>
  <c r="Z89" i="1"/>
  <c r="Y89" i="1"/>
  <c r="X89" i="1"/>
  <c r="AB88" i="1"/>
  <c r="AA88" i="1"/>
  <c r="Z88" i="1"/>
  <c r="Y88" i="1"/>
  <c r="X88" i="1"/>
  <c r="AB87" i="1"/>
  <c r="AA87" i="1"/>
  <c r="Z87" i="1"/>
  <c r="Y87" i="1"/>
  <c r="X87" i="1"/>
  <c r="AB86" i="1"/>
  <c r="AA86" i="1"/>
  <c r="Z86" i="1"/>
  <c r="Y86" i="1"/>
  <c r="X86" i="1"/>
  <c r="AB85" i="1"/>
  <c r="AA85" i="1"/>
  <c r="Z85" i="1"/>
  <c r="Y85" i="1"/>
  <c r="X85" i="1"/>
  <c r="AB84" i="1"/>
  <c r="AA84" i="1"/>
  <c r="Z84" i="1"/>
  <c r="Y84" i="1"/>
  <c r="X84" i="1"/>
  <c r="AB83" i="1"/>
  <c r="AA83" i="1"/>
  <c r="Z83" i="1"/>
  <c r="Y83" i="1"/>
  <c r="X83" i="1"/>
  <c r="AB82" i="1"/>
  <c r="AA82" i="1"/>
  <c r="Z82" i="1"/>
  <c r="Y82" i="1"/>
  <c r="X82" i="1"/>
  <c r="AB81" i="1"/>
  <c r="AA81" i="1"/>
  <c r="Z81" i="1"/>
  <c r="Y81" i="1"/>
  <c r="X81" i="1"/>
  <c r="AB80" i="1"/>
  <c r="AA80" i="1"/>
  <c r="Z80" i="1"/>
  <c r="Y80" i="1"/>
  <c r="X80" i="1"/>
  <c r="AB79" i="1"/>
  <c r="AA79" i="1"/>
  <c r="Z79" i="1"/>
  <c r="Y79" i="1"/>
  <c r="X79" i="1"/>
  <c r="AB78" i="1"/>
  <c r="AA78" i="1"/>
  <c r="Z78" i="1"/>
  <c r="Y78" i="1"/>
  <c r="X78" i="1"/>
  <c r="AB77" i="1"/>
  <c r="AA77" i="1"/>
  <c r="Z77" i="1"/>
  <c r="Y77" i="1"/>
  <c r="X77" i="1"/>
  <c r="AB76" i="1"/>
  <c r="AA76" i="1"/>
  <c r="Z76" i="1"/>
  <c r="Y76" i="1"/>
  <c r="X76" i="1"/>
  <c r="AB75" i="1"/>
  <c r="AA75" i="1"/>
  <c r="Z75" i="1"/>
  <c r="Y75" i="1"/>
  <c r="X75" i="1"/>
  <c r="AB74" i="1"/>
  <c r="AA74" i="1"/>
  <c r="Z74" i="1"/>
  <c r="Y74" i="1"/>
  <c r="X74" i="1"/>
  <c r="AB73" i="1"/>
  <c r="AA73" i="1"/>
  <c r="Z73" i="1"/>
  <c r="Y73" i="1"/>
  <c r="X73" i="1"/>
  <c r="AB72" i="1"/>
  <c r="AA72" i="1"/>
  <c r="Z72" i="1"/>
  <c r="Y72" i="1"/>
  <c r="X72" i="1"/>
  <c r="AB71" i="1"/>
  <c r="AA71" i="1"/>
  <c r="Z71" i="1"/>
  <c r="Y71" i="1"/>
  <c r="X71" i="1"/>
  <c r="AB70" i="1"/>
  <c r="AA70" i="1"/>
  <c r="Z70" i="1"/>
  <c r="Y70" i="1"/>
  <c r="X70" i="1"/>
  <c r="AB69" i="1"/>
  <c r="AA69" i="1"/>
  <c r="Z69" i="1"/>
  <c r="Y69" i="1"/>
  <c r="X69" i="1"/>
  <c r="AB68" i="1"/>
  <c r="AA68" i="1"/>
  <c r="Z68" i="1"/>
  <c r="Y68" i="1"/>
  <c r="X68" i="1"/>
  <c r="AB67" i="1"/>
  <c r="AA67" i="1"/>
  <c r="Z67" i="1"/>
  <c r="Y67" i="1"/>
  <c r="X67" i="1"/>
  <c r="AB66" i="1"/>
  <c r="AA66" i="1"/>
  <c r="Z66" i="1"/>
  <c r="Y66" i="1"/>
  <c r="X66" i="1"/>
  <c r="AB65" i="1"/>
  <c r="AA65" i="1"/>
  <c r="Z65" i="1"/>
  <c r="Y65" i="1"/>
  <c r="X65" i="1"/>
  <c r="AB64" i="1"/>
  <c r="AA64" i="1"/>
  <c r="Z64" i="1"/>
  <c r="Y64" i="1"/>
  <c r="X64" i="1"/>
  <c r="AB63" i="1"/>
  <c r="AA63" i="1"/>
  <c r="Z63" i="1"/>
  <c r="Y63" i="1"/>
  <c r="X63" i="1"/>
  <c r="AB62" i="1"/>
  <c r="AA62" i="1"/>
  <c r="Z62" i="1"/>
  <c r="Y62" i="1"/>
  <c r="X62" i="1"/>
  <c r="AB61" i="1"/>
  <c r="AA61" i="1"/>
  <c r="Z61" i="1"/>
  <c r="Y61" i="1"/>
  <c r="X61" i="1"/>
  <c r="AB60" i="1"/>
  <c r="AA60" i="1"/>
  <c r="Z60" i="1"/>
  <c r="Y60" i="1"/>
  <c r="X60" i="1"/>
  <c r="AB59" i="1"/>
  <c r="AA59" i="1"/>
  <c r="Z59" i="1"/>
  <c r="Y59" i="1"/>
  <c r="X59" i="1"/>
  <c r="AB58" i="1"/>
  <c r="AA58" i="1"/>
  <c r="Z58" i="1"/>
  <c r="Y58" i="1"/>
  <c r="X58" i="1"/>
  <c r="AB57" i="1"/>
  <c r="AA57" i="1"/>
  <c r="Z57" i="1"/>
  <c r="Y57" i="1"/>
  <c r="X57" i="1"/>
  <c r="AB56" i="1"/>
  <c r="AA56" i="1"/>
  <c r="Z56" i="1"/>
  <c r="Y56" i="1"/>
  <c r="X56" i="1"/>
  <c r="AB55" i="1"/>
  <c r="AA55" i="1"/>
  <c r="Z55" i="1"/>
  <c r="Y55" i="1"/>
  <c r="X55" i="1"/>
  <c r="AB54" i="1"/>
  <c r="AA54" i="1"/>
  <c r="Z54" i="1"/>
  <c r="Y54" i="1"/>
  <c r="X54" i="1"/>
  <c r="AB53" i="1"/>
  <c r="AA53" i="1"/>
  <c r="Z53" i="1"/>
  <c r="Y53" i="1"/>
  <c r="X53" i="1"/>
  <c r="AB52" i="1"/>
  <c r="AA52" i="1"/>
  <c r="Z52" i="1"/>
  <c r="Y52" i="1"/>
  <c r="X52" i="1"/>
  <c r="AB51" i="1"/>
  <c r="AA51" i="1"/>
  <c r="Z51" i="1"/>
  <c r="Y51" i="1"/>
  <c r="X51" i="1"/>
  <c r="AB50" i="1"/>
  <c r="AA50" i="1"/>
  <c r="Z50" i="1"/>
  <c r="Y50" i="1"/>
  <c r="X50" i="1"/>
  <c r="AB49" i="1"/>
  <c r="AA49" i="1"/>
  <c r="Z49" i="1"/>
  <c r="Y49" i="1"/>
  <c r="X49" i="1"/>
  <c r="AB48" i="1"/>
  <c r="AA48" i="1"/>
  <c r="Z48" i="1"/>
  <c r="Y48" i="1"/>
  <c r="X48" i="1"/>
  <c r="AB47" i="1"/>
  <c r="AA47" i="1"/>
  <c r="Z47" i="1"/>
  <c r="Y47" i="1"/>
  <c r="X47" i="1"/>
  <c r="AB46" i="1"/>
  <c r="AA46" i="1"/>
  <c r="Z46" i="1"/>
  <c r="Y46" i="1"/>
  <c r="X46" i="1"/>
  <c r="AB45" i="1"/>
  <c r="AA45" i="1"/>
  <c r="Z45" i="1"/>
  <c r="Y45" i="1"/>
  <c r="X45" i="1"/>
  <c r="AB44" i="1"/>
  <c r="AA44" i="1"/>
  <c r="Z44" i="1"/>
  <c r="Y44" i="1"/>
  <c r="X44" i="1"/>
  <c r="AB43" i="1"/>
  <c r="AA43" i="1"/>
  <c r="Z43" i="1"/>
  <c r="Y43" i="1"/>
  <c r="X43" i="1"/>
  <c r="AB42" i="1"/>
  <c r="AA42" i="1"/>
  <c r="Z42" i="1"/>
  <c r="Y42" i="1"/>
  <c r="X42" i="1"/>
  <c r="AB41" i="1"/>
  <c r="AA41" i="1"/>
  <c r="Z41" i="1"/>
  <c r="Y41" i="1"/>
  <c r="X41" i="1"/>
  <c r="AB40" i="1"/>
  <c r="AA40" i="1"/>
  <c r="Z40" i="1"/>
  <c r="Y40" i="1"/>
  <c r="X40" i="1"/>
  <c r="AB39" i="1"/>
  <c r="AA39" i="1"/>
  <c r="Z39" i="1"/>
  <c r="Y39" i="1"/>
  <c r="X39" i="1"/>
  <c r="AB38" i="1"/>
  <c r="AA38" i="1"/>
  <c r="Z38" i="1"/>
  <c r="Y38" i="1"/>
  <c r="X38" i="1"/>
  <c r="AB37" i="1"/>
  <c r="AA37" i="1"/>
  <c r="Z37" i="1"/>
  <c r="Y37" i="1"/>
  <c r="X37" i="1"/>
  <c r="AB36" i="1"/>
  <c r="AA36" i="1"/>
  <c r="Z36" i="1"/>
  <c r="Y36" i="1"/>
  <c r="X36" i="1"/>
  <c r="AB35" i="1"/>
  <c r="AA35" i="1"/>
  <c r="Z35" i="1"/>
  <c r="Y35" i="1"/>
  <c r="X35" i="1"/>
  <c r="AB34" i="1"/>
  <c r="AA34" i="1"/>
  <c r="Z34" i="1"/>
  <c r="Y34" i="1"/>
  <c r="X34" i="1"/>
  <c r="AB33" i="1"/>
  <c r="AA33" i="1"/>
  <c r="Z33" i="1"/>
  <c r="Y33" i="1"/>
  <c r="X33" i="1"/>
  <c r="AB32" i="1"/>
  <c r="AA32" i="1"/>
  <c r="Z32" i="1"/>
  <c r="Y32" i="1"/>
  <c r="X32" i="1"/>
  <c r="AB31" i="1"/>
  <c r="AA31" i="1"/>
  <c r="Z31" i="1"/>
  <c r="Y31" i="1"/>
  <c r="X31" i="1"/>
  <c r="AB30" i="1"/>
  <c r="AA30" i="1"/>
  <c r="Z30" i="1"/>
  <c r="Y30" i="1"/>
  <c r="X30" i="1"/>
  <c r="AB29" i="1"/>
  <c r="AA29" i="1"/>
  <c r="Z29" i="1"/>
  <c r="Y29" i="1"/>
  <c r="X29" i="1"/>
  <c r="AB28" i="1"/>
  <c r="AA28" i="1"/>
  <c r="Z28" i="1"/>
  <c r="Y28" i="1"/>
  <c r="X28" i="1"/>
  <c r="AB27" i="1"/>
  <c r="AA27" i="1"/>
  <c r="Z27" i="1"/>
  <c r="Y27" i="1"/>
  <c r="X27" i="1"/>
  <c r="AB26" i="1"/>
  <c r="AA26" i="1"/>
  <c r="Z26" i="1"/>
  <c r="Y26" i="1"/>
  <c r="X26" i="1"/>
  <c r="AB25" i="1"/>
  <c r="AA25" i="1"/>
  <c r="Z25" i="1"/>
  <c r="Y25" i="1"/>
  <c r="X25" i="1"/>
  <c r="AB24" i="1"/>
  <c r="AA24" i="1"/>
  <c r="Z24" i="1"/>
  <c r="Y24" i="1"/>
  <c r="X24" i="1"/>
  <c r="AB23" i="1"/>
  <c r="AA23" i="1"/>
  <c r="Z23" i="1"/>
  <c r="Y23" i="1"/>
  <c r="X23" i="1"/>
  <c r="AB22" i="1"/>
  <c r="AA22" i="1"/>
  <c r="Z22" i="1"/>
  <c r="Y22" i="1"/>
  <c r="X22" i="1"/>
  <c r="AB21" i="1"/>
  <c r="AA21" i="1"/>
  <c r="Z21" i="1"/>
  <c r="Y21" i="1"/>
  <c r="X21" i="1"/>
  <c r="AB20" i="1"/>
  <c r="AA20" i="1"/>
  <c r="Z20" i="1"/>
  <c r="Y20" i="1"/>
  <c r="X20" i="1"/>
  <c r="AB19" i="1"/>
  <c r="AA19" i="1"/>
  <c r="Z19" i="1"/>
  <c r="Y19" i="1"/>
  <c r="X19" i="1"/>
  <c r="AB18" i="1"/>
  <c r="AA18" i="1"/>
  <c r="Z18" i="1"/>
  <c r="Y18" i="1"/>
  <c r="X18" i="1"/>
  <c r="AB17" i="1"/>
  <c r="AA17" i="1"/>
  <c r="Z17" i="1"/>
  <c r="Y17" i="1"/>
  <c r="X17" i="1"/>
  <c r="AB16" i="1"/>
  <c r="AA16" i="1"/>
  <c r="Z16" i="1"/>
  <c r="Y16" i="1"/>
  <c r="X16" i="1"/>
  <c r="AB15" i="1"/>
  <c r="AA15" i="1"/>
  <c r="Z15" i="1"/>
  <c r="Y15" i="1"/>
  <c r="X15" i="1"/>
  <c r="AB14" i="1"/>
  <c r="AA14" i="1"/>
  <c r="Z14" i="1"/>
  <c r="Y14" i="1"/>
  <c r="X14" i="1"/>
  <c r="AB13" i="1"/>
  <c r="AA13" i="1"/>
  <c r="Z13" i="1"/>
  <c r="Y13" i="1"/>
  <c r="X13" i="1"/>
  <c r="AB12" i="1"/>
  <c r="AA12" i="1"/>
  <c r="Z12" i="1"/>
  <c r="Y12" i="1"/>
  <c r="X12" i="1"/>
  <c r="AB11" i="1"/>
  <c r="AA11" i="1"/>
  <c r="Z11" i="1"/>
  <c r="Y11" i="1"/>
  <c r="X11" i="1"/>
  <c r="AB10" i="1"/>
  <c r="AA10" i="1"/>
  <c r="Z10" i="1"/>
  <c r="Y10" i="1"/>
  <c r="X10" i="1"/>
  <c r="AB9" i="1"/>
  <c r="AA9" i="1"/>
  <c r="Z9" i="1"/>
  <c r="Y9" i="1"/>
  <c r="X9" i="1"/>
  <c r="AB8" i="1"/>
  <c r="AA8" i="1"/>
  <c r="Z8" i="1"/>
  <c r="Y8" i="1"/>
  <c r="X8" i="1"/>
  <c r="AB7" i="1"/>
  <c r="AA7" i="1"/>
  <c r="Z7" i="1"/>
  <c r="Y7" i="1"/>
  <c r="X7" i="1"/>
  <c r="AB6" i="1"/>
  <c r="AA6" i="1"/>
  <c r="Z6" i="1"/>
  <c r="Y6" i="1"/>
  <c r="X6" i="1"/>
  <c r="AB5" i="1"/>
  <c r="AA5" i="1"/>
  <c r="Z5" i="1"/>
  <c r="Y5" i="1"/>
  <c r="X5" i="1"/>
  <c r="AB4" i="1"/>
  <c r="AA4" i="1"/>
  <c r="Z4" i="1"/>
  <c r="Y4" i="1"/>
  <c r="X4" i="1"/>
  <c r="AH4" i="1"/>
  <c r="AL4" i="1"/>
  <c r="AQ4" i="1"/>
  <c r="AR4" i="1"/>
  <c r="AH5" i="1"/>
  <c r="AL5" i="1"/>
  <c r="AQ5" i="1"/>
  <c r="AR5" i="1"/>
  <c r="AH6" i="1"/>
  <c r="AL6" i="1"/>
  <c r="AQ6" i="1"/>
  <c r="AR6" i="1"/>
  <c r="AH7" i="1"/>
  <c r="AL7" i="1"/>
  <c r="AQ7" i="1"/>
  <c r="AR7" i="1"/>
  <c r="AH8" i="1"/>
  <c r="AL8" i="1"/>
  <c r="AQ8" i="1"/>
  <c r="AR8" i="1"/>
  <c r="AH9" i="1"/>
  <c r="AL9" i="1"/>
  <c r="AQ9" i="1"/>
  <c r="AR9" i="1"/>
  <c r="AH10" i="1"/>
  <c r="AL10" i="1"/>
  <c r="AQ10" i="1"/>
  <c r="AR10" i="1"/>
  <c r="AH11" i="1"/>
  <c r="AL11" i="1"/>
  <c r="AQ11" i="1"/>
  <c r="AR11" i="1"/>
  <c r="AH12" i="1"/>
  <c r="AL12" i="1"/>
  <c r="AQ12" i="1"/>
  <c r="AR12" i="1"/>
  <c r="AH13" i="1"/>
  <c r="AL13" i="1"/>
  <c r="AQ13" i="1"/>
  <c r="AR13" i="1"/>
  <c r="AH14" i="1"/>
  <c r="AL14" i="1"/>
  <c r="AQ14" i="1"/>
  <c r="AR14" i="1"/>
  <c r="AH15" i="1"/>
  <c r="AL15" i="1"/>
  <c r="AQ15" i="1"/>
  <c r="AR15" i="1"/>
  <c r="AH16" i="1"/>
  <c r="AL16" i="1"/>
  <c r="AQ16" i="1"/>
  <c r="AR16" i="1"/>
  <c r="AH17" i="1"/>
  <c r="AL17" i="1"/>
  <c r="AQ17" i="1"/>
  <c r="AR17" i="1"/>
  <c r="AH18" i="1"/>
  <c r="AL18" i="1"/>
  <c r="AQ18" i="1"/>
  <c r="AR18" i="1"/>
  <c r="AH19" i="1"/>
  <c r="AL19" i="1"/>
  <c r="AQ19" i="1"/>
  <c r="AR19" i="1"/>
  <c r="AH20" i="1"/>
  <c r="AL20" i="1"/>
  <c r="AQ20" i="1"/>
  <c r="AR20" i="1"/>
  <c r="AH21" i="1"/>
  <c r="AL21" i="1"/>
  <c r="AQ21" i="1"/>
  <c r="AR21" i="1"/>
  <c r="AH22" i="1"/>
  <c r="AL22" i="1"/>
  <c r="AQ22" i="1"/>
  <c r="AR22" i="1"/>
  <c r="AH23" i="1"/>
  <c r="AL23" i="1"/>
  <c r="AQ23" i="1"/>
  <c r="AR23" i="1"/>
  <c r="AH24" i="1"/>
  <c r="AL24" i="1"/>
  <c r="AQ24" i="1"/>
  <c r="AR24" i="1"/>
  <c r="AH25" i="1"/>
  <c r="AL25" i="1"/>
  <c r="AQ25" i="1"/>
  <c r="AR25" i="1"/>
  <c r="AH26" i="1"/>
  <c r="AL26" i="1"/>
  <c r="AQ26" i="1"/>
  <c r="AR26" i="1"/>
  <c r="AH27" i="1"/>
  <c r="AL27" i="1"/>
  <c r="AQ27" i="1"/>
  <c r="AR27" i="1"/>
  <c r="AH28" i="1"/>
  <c r="AL28" i="1"/>
  <c r="AQ28" i="1"/>
  <c r="AR28" i="1"/>
  <c r="AH29" i="1"/>
  <c r="AL29" i="1"/>
  <c r="AQ29" i="1"/>
  <c r="AR29" i="1"/>
  <c r="AH30" i="1"/>
  <c r="AL30" i="1"/>
  <c r="AQ30" i="1"/>
  <c r="AR30" i="1"/>
  <c r="AH31" i="1"/>
  <c r="AL31" i="1"/>
  <c r="AQ31" i="1"/>
  <c r="AR31" i="1"/>
  <c r="AH32" i="1"/>
  <c r="AL32" i="1"/>
  <c r="AQ32" i="1"/>
  <c r="AR32" i="1"/>
  <c r="AH33" i="1"/>
  <c r="AL33" i="1"/>
  <c r="AQ33" i="1"/>
  <c r="AR33" i="1"/>
  <c r="AH34" i="1"/>
  <c r="AL34" i="1"/>
  <c r="AQ34" i="1"/>
  <c r="AR34" i="1"/>
  <c r="AH35" i="1"/>
  <c r="AL35" i="1"/>
  <c r="AQ35" i="1"/>
  <c r="AR35" i="1"/>
  <c r="AH36" i="1"/>
  <c r="AL36" i="1"/>
  <c r="AQ36" i="1"/>
  <c r="AR36" i="1"/>
  <c r="AH37" i="1"/>
  <c r="AL37" i="1"/>
  <c r="AQ37" i="1"/>
  <c r="AR37" i="1"/>
  <c r="AH38" i="1"/>
  <c r="AL38" i="1"/>
  <c r="AQ38" i="1"/>
  <c r="AR38" i="1"/>
  <c r="AH39" i="1"/>
  <c r="AL39" i="1"/>
  <c r="AQ39" i="1"/>
  <c r="AR39" i="1"/>
  <c r="AH40" i="1"/>
  <c r="AL40" i="1"/>
  <c r="AQ40" i="1"/>
  <c r="AR40" i="1"/>
  <c r="AH41" i="1"/>
  <c r="AL41" i="1"/>
  <c r="AQ41" i="1"/>
  <c r="AR41" i="1"/>
  <c r="AH42" i="1"/>
  <c r="AL42" i="1"/>
  <c r="AQ42" i="1"/>
  <c r="AR42" i="1"/>
  <c r="AH43" i="1"/>
  <c r="AL43" i="1"/>
  <c r="AQ43" i="1"/>
  <c r="AR43" i="1"/>
  <c r="AH44" i="1"/>
  <c r="AL44" i="1"/>
  <c r="AQ44" i="1"/>
  <c r="AR44" i="1"/>
  <c r="AH45" i="1"/>
  <c r="AL45" i="1"/>
  <c r="AQ45" i="1"/>
  <c r="AR45" i="1"/>
  <c r="AH46" i="1"/>
  <c r="AL46" i="1"/>
  <c r="AQ46" i="1"/>
  <c r="AR46" i="1"/>
  <c r="AH47" i="1"/>
  <c r="AL47" i="1"/>
  <c r="AQ47" i="1"/>
  <c r="AR47" i="1"/>
  <c r="AH48" i="1"/>
  <c r="AL48" i="1"/>
  <c r="AQ48" i="1"/>
  <c r="AR48" i="1"/>
  <c r="AH49" i="1"/>
  <c r="AL49" i="1"/>
  <c r="AQ49" i="1"/>
  <c r="AR49" i="1"/>
  <c r="AH50" i="1"/>
  <c r="AL50" i="1"/>
  <c r="AQ50" i="1"/>
  <c r="AR50" i="1"/>
  <c r="AH51" i="1"/>
  <c r="AL51" i="1"/>
  <c r="AQ51" i="1"/>
  <c r="AR51" i="1"/>
  <c r="AH52" i="1"/>
  <c r="AL52" i="1"/>
  <c r="AQ52" i="1"/>
  <c r="AR52" i="1"/>
  <c r="AH53" i="1"/>
  <c r="AL53" i="1"/>
  <c r="AQ53" i="1"/>
  <c r="AR53" i="1"/>
  <c r="AH54" i="1"/>
  <c r="AL54" i="1"/>
  <c r="AQ54" i="1"/>
  <c r="AR54" i="1"/>
  <c r="AH55" i="1"/>
  <c r="AL55" i="1"/>
  <c r="AQ55" i="1"/>
  <c r="AR55" i="1"/>
  <c r="AH56" i="1"/>
  <c r="AL56" i="1"/>
  <c r="AQ56" i="1"/>
  <c r="AR56" i="1"/>
  <c r="AH57" i="1"/>
  <c r="AL57" i="1"/>
  <c r="AQ57" i="1"/>
  <c r="AR57" i="1"/>
  <c r="AH58" i="1"/>
  <c r="AL58" i="1"/>
  <c r="AQ58" i="1"/>
  <c r="AR58" i="1"/>
  <c r="AH59" i="1"/>
  <c r="AL59" i="1"/>
  <c r="AQ59" i="1"/>
  <c r="AR59" i="1"/>
  <c r="AH60" i="1"/>
  <c r="AL60" i="1"/>
  <c r="AQ60" i="1"/>
  <c r="AR60" i="1"/>
  <c r="AH61" i="1"/>
  <c r="AL61" i="1"/>
  <c r="AQ61" i="1"/>
  <c r="AR61" i="1"/>
  <c r="AH62" i="1"/>
  <c r="AL62" i="1"/>
  <c r="AQ62" i="1"/>
  <c r="AR62" i="1"/>
  <c r="AH63" i="1"/>
  <c r="AL63" i="1"/>
  <c r="AQ63" i="1"/>
  <c r="AR63" i="1"/>
  <c r="AH64" i="1"/>
  <c r="AL64" i="1"/>
  <c r="AQ64" i="1"/>
  <c r="AR64" i="1"/>
  <c r="AH65" i="1"/>
  <c r="AL65" i="1"/>
  <c r="AQ65" i="1"/>
  <c r="AR65" i="1"/>
  <c r="AH66" i="1"/>
  <c r="AL66" i="1"/>
  <c r="AQ66" i="1"/>
  <c r="AR66" i="1"/>
  <c r="AH67" i="1"/>
  <c r="AL67" i="1"/>
  <c r="AQ67" i="1"/>
  <c r="AR67" i="1"/>
  <c r="AH68" i="1"/>
  <c r="AL68" i="1"/>
  <c r="AQ68" i="1"/>
  <c r="AR68" i="1"/>
  <c r="AH69" i="1"/>
  <c r="AL69" i="1"/>
  <c r="AQ69" i="1"/>
  <c r="AR69" i="1"/>
  <c r="AH70" i="1"/>
  <c r="AL70" i="1"/>
  <c r="AQ70" i="1"/>
  <c r="AR70" i="1"/>
  <c r="AH71" i="1"/>
  <c r="AL71" i="1"/>
  <c r="AQ71" i="1"/>
  <c r="AR71" i="1"/>
  <c r="AH72" i="1"/>
  <c r="AL72" i="1"/>
  <c r="AQ72" i="1"/>
  <c r="AR72" i="1"/>
  <c r="AH73" i="1"/>
  <c r="AL73" i="1"/>
  <c r="AQ73" i="1"/>
  <c r="AR73" i="1"/>
  <c r="AH74" i="1"/>
  <c r="AL74" i="1"/>
  <c r="AQ74" i="1"/>
  <c r="AR74" i="1"/>
  <c r="AH75" i="1"/>
  <c r="AL75" i="1"/>
  <c r="AQ75" i="1"/>
  <c r="AR75" i="1"/>
  <c r="AH76" i="1"/>
  <c r="AL76" i="1"/>
  <c r="AQ76" i="1"/>
  <c r="AR76" i="1"/>
  <c r="AH77" i="1"/>
  <c r="AL77" i="1"/>
  <c r="AQ77" i="1"/>
  <c r="AR77" i="1"/>
  <c r="AH78" i="1"/>
  <c r="AL78" i="1"/>
  <c r="AQ78" i="1"/>
  <c r="AR78" i="1"/>
  <c r="AH79" i="1"/>
  <c r="AL79" i="1"/>
  <c r="AQ79" i="1"/>
  <c r="AR79" i="1"/>
  <c r="AH80" i="1"/>
  <c r="AL80" i="1"/>
  <c r="AQ80" i="1"/>
  <c r="AR80" i="1"/>
  <c r="AH81" i="1"/>
  <c r="AL81" i="1"/>
  <c r="AQ81" i="1"/>
  <c r="AR81" i="1"/>
  <c r="AH82" i="1"/>
  <c r="AL82" i="1"/>
  <c r="AQ82" i="1"/>
  <c r="AR82" i="1"/>
  <c r="AH83" i="1"/>
  <c r="AL83" i="1"/>
  <c r="AQ83" i="1"/>
  <c r="AR83" i="1"/>
  <c r="AH84" i="1"/>
  <c r="AL84" i="1"/>
  <c r="AQ84" i="1"/>
  <c r="AR84" i="1"/>
  <c r="AH85" i="1"/>
  <c r="AL85" i="1"/>
  <c r="AQ85" i="1"/>
  <c r="AR85" i="1"/>
  <c r="AH86" i="1"/>
  <c r="AL86" i="1"/>
  <c r="AQ86" i="1"/>
  <c r="AR86" i="1"/>
  <c r="AH87" i="1"/>
  <c r="AL87" i="1"/>
  <c r="AQ87" i="1"/>
  <c r="AR87" i="1"/>
  <c r="AH88" i="1"/>
  <c r="AL88" i="1"/>
  <c r="AQ88" i="1"/>
  <c r="AR88" i="1"/>
  <c r="AH89" i="1"/>
  <c r="AL89" i="1"/>
  <c r="AQ89" i="1"/>
  <c r="AR89" i="1"/>
  <c r="AH90" i="1"/>
  <c r="AL90" i="1"/>
  <c r="AQ90" i="1"/>
  <c r="AR90" i="1"/>
  <c r="AH91" i="1"/>
  <c r="AL91" i="1"/>
  <c r="AQ91" i="1"/>
  <c r="AR91" i="1"/>
  <c r="AH92" i="1"/>
  <c r="AL92" i="1"/>
  <c r="AQ92" i="1"/>
  <c r="AR92" i="1"/>
  <c r="AH93" i="1"/>
  <c r="AL93" i="1"/>
  <c r="AQ93" i="1"/>
  <c r="AR93" i="1"/>
  <c r="AH94" i="1"/>
  <c r="AL94" i="1"/>
  <c r="AQ94" i="1"/>
  <c r="AR94" i="1"/>
  <c r="AH95" i="1"/>
  <c r="AL95" i="1"/>
  <c r="AQ95" i="1"/>
  <c r="AR95" i="1"/>
  <c r="AH96" i="1"/>
  <c r="AL96" i="1"/>
  <c r="AQ96" i="1"/>
  <c r="AR96" i="1"/>
  <c r="AH97" i="1"/>
  <c r="AL97" i="1"/>
  <c r="AQ97" i="1"/>
  <c r="AR97" i="1"/>
  <c r="AH98" i="1"/>
  <c r="AL98" i="1"/>
  <c r="AQ98" i="1"/>
  <c r="AR98" i="1"/>
  <c r="AH99" i="1"/>
  <c r="AL99" i="1"/>
  <c r="AQ99" i="1"/>
  <c r="AR99" i="1"/>
  <c r="AH100" i="1"/>
  <c r="AL100" i="1"/>
  <c r="AQ100" i="1"/>
  <c r="AR100" i="1"/>
  <c r="AH101" i="1"/>
  <c r="AL101" i="1"/>
  <c r="AQ101" i="1"/>
  <c r="AR101" i="1"/>
  <c r="AH102" i="1"/>
  <c r="AL102" i="1"/>
  <c r="AQ102" i="1"/>
  <c r="AR102" i="1"/>
  <c r="AH103" i="1"/>
  <c r="AL103" i="1"/>
  <c r="AQ103" i="1"/>
  <c r="AR103" i="1"/>
  <c r="AH104" i="1"/>
  <c r="AL104" i="1"/>
  <c r="AQ104" i="1"/>
  <c r="AR104" i="1"/>
  <c r="AH105" i="1"/>
  <c r="AL105" i="1"/>
  <c r="AQ105" i="1"/>
  <c r="AR105" i="1"/>
  <c r="AH106" i="1"/>
  <c r="AL106" i="1"/>
  <c r="AQ106" i="1"/>
  <c r="AR106" i="1"/>
  <c r="AH107" i="1"/>
  <c r="AL107" i="1"/>
  <c r="AQ107" i="1"/>
  <c r="AR107" i="1"/>
  <c r="AH108" i="1"/>
  <c r="AL108" i="1"/>
  <c r="AQ108" i="1"/>
  <c r="AR108" i="1"/>
  <c r="AH109" i="1"/>
  <c r="AL109" i="1"/>
  <c r="AQ109" i="1"/>
  <c r="AR109" i="1"/>
  <c r="AH110" i="1"/>
  <c r="AL110" i="1"/>
  <c r="AQ110" i="1"/>
  <c r="AR110" i="1"/>
  <c r="AH111" i="1"/>
  <c r="AL111" i="1"/>
  <c r="AQ111" i="1"/>
  <c r="AR111" i="1"/>
  <c r="AH112" i="1"/>
  <c r="AL112" i="1"/>
  <c r="AQ112" i="1"/>
  <c r="AR112" i="1"/>
  <c r="AH113" i="1"/>
  <c r="AL113" i="1"/>
  <c r="AQ113" i="1"/>
  <c r="AR113" i="1"/>
  <c r="AH114" i="1"/>
  <c r="AL114" i="1"/>
  <c r="AQ114" i="1"/>
  <c r="AR114" i="1"/>
  <c r="AH115" i="1"/>
  <c r="AL115" i="1"/>
  <c r="AQ115" i="1"/>
  <c r="AR115" i="1"/>
  <c r="AR181" i="1" s="1"/>
  <c r="AH116" i="1"/>
  <c r="AL116" i="1"/>
  <c r="AQ116" i="1"/>
  <c r="AR116" i="1"/>
  <c r="AH117" i="1"/>
  <c r="AL117" i="1"/>
  <c r="AQ117" i="1"/>
  <c r="AR117" i="1"/>
  <c r="AH118" i="1"/>
  <c r="AL118" i="1"/>
  <c r="AQ118" i="1"/>
  <c r="AR118" i="1"/>
  <c r="AH119" i="1"/>
  <c r="AL119" i="1"/>
  <c r="AQ119" i="1"/>
  <c r="AR119" i="1"/>
  <c r="AH120" i="1"/>
  <c r="AL120" i="1"/>
  <c r="AQ120" i="1"/>
  <c r="AR120" i="1"/>
  <c r="AH121" i="1"/>
  <c r="AL121" i="1"/>
  <c r="AQ121" i="1"/>
  <c r="AR121" i="1"/>
  <c r="AH122" i="1"/>
  <c r="AL122" i="1"/>
  <c r="AQ122" i="1"/>
  <c r="AR122" i="1"/>
  <c r="AH123" i="1"/>
  <c r="AL123" i="1"/>
  <c r="AQ123" i="1"/>
  <c r="AR123" i="1"/>
  <c r="AH124" i="1"/>
  <c r="AL124" i="1"/>
  <c r="AQ124" i="1"/>
  <c r="AR124" i="1"/>
  <c r="AH125" i="1"/>
  <c r="AL125" i="1"/>
  <c r="AQ125" i="1"/>
  <c r="AR125" i="1"/>
  <c r="AH126" i="1"/>
  <c r="AL126" i="1"/>
  <c r="AQ126" i="1"/>
  <c r="AR126" i="1"/>
  <c r="AH127" i="1"/>
  <c r="AL127" i="1"/>
  <c r="AQ127" i="1"/>
  <c r="AR127" i="1"/>
  <c r="AH128" i="1"/>
  <c r="AL128" i="1"/>
  <c r="AQ128" i="1"/>
  <c r="AR128" i="1"/>
  <c r="AH129" i="1"/>
  <c r="AL129" i="1"/>
  <c r="AQ129" i="1"/>
  <c r="AR129" i="1"/>
  <c r="AH130" i="1"/>
  <c r="AL130" i="1"/>
  <c r="AQ130" i="1"/>
  <c r="AR130" i="1"/>
  <c r="AH131" i="1"/>
  <c r="AL131" i="1"/>
  <c r="AQ131" i="1"/>
  <c r="AR131" i="1"/>
  <c r="AH132" i="1"/>
  <c r="AL132" i="1"/>
  <c r="AQ132" i="1"/>
  <c r="AR132" i="1"/>
  <c r="AH133" i="1"/>
  <c r="AL133" i="1"/>
  <c r="AQ133" i="1"/>
  <c r="AR133" i="1"/>
  <c r="AH134" i="1"/>
  <c r="AL134" i="1"/>
  <c r="AQ134" i="1"/>
  <c r="AR134" i="1"/>
  <c r="AH135" i="1"/>
  <c r="AL135" i="1"/>
  <c r="AQ135" i="1"/>
  <c r="AR135" i="1"/>
  <c r="AH136" i="1"/>
  <c r="AL136" i="1"/>
  <c r="AQ136" i="1"/>
  <c r="AR136" i="1"/>
  <c r="AH137" i="1"/>
  <c r="AL137" i="1"/>
  <c r="AQ137" i="1"/>
  <c r="AR137" i="1"/>
  <c r="AH138" i="1"/>
  <c r="AL138" i="1"/>
  <c r="AQ138" i="1"/>
  <c r="AR138" i="1"/>
  <c r="AH139" i="1"/>
  <c r="AL139" i="1"/>
  <c r="AQ139" i="1"/>
  <c r="AR139" i="1"/>
  <c r="AH140" i="1"/>
  <c r="AL140" i="1"/>
  <c r="AQ140" i="1"/>
  <c r="AR140" i="1"/>
  <c r="AH141" i="1"/>
  <c r="AL141" i="1"/>
  <c r="AQ141" i="1"/>
  <c r="AR141" i="1"/>
  <c r="AH142" i="1"/>
  <c r="AL142" i="1"/>
  <c r="AQ142" i="1"/>
  <c r="AR142" i="1"/>
  <c r="AH143" i="1"/>
  <c r="AL143" i="1"/>
  <c r="AQ143" i="1"/>
  <c r="AR143" i="1"/>
  <c r="AH144" i="1"/>
  <c r="AL144" i="1"/>
  <c r="AQ144" i="1"/>
  <c r="AR144" i="1"/>
  <c r="AH145" i="1"/>
  <c r="AL145" i="1"/>
  <c r="AQ145" i="1"/>
  <c r="AR145" i="1"/>
  <c r="AH146" i="1"/>
  <c r="AL146" i="1"/>
  <c r="AQ146" i="1"/>
  <c r="AR146" i="1"/>
  <c r="AH147" i="1"/>
  <c r="AL147" i="1"/>
  <c r="AQ147" i="1"/>
  <c r="AR147" i="1"/>
  <c r="AH148" i="1"/>
  <c r="AL148" i="1"/>
  <c r="AQ148" i="1"/>
  <c r="AR148" i="1"/>
  <c r="AH149" i="1"/>
  <c r="AL149" i="1"/>
  <c r="AQ149" i="1"/>
  <c r="AR149" i="1"/>
  <c r="AH150" i="1"/>
  <c r="AL150" i="1"/>
  <c r="AQ150" i="1"/>
  <c r="AR150" i="1"/>
  <c r="AH151" i="1"/>
  <c r="AL151" i="1"/>
  <c r="AQ151" i="1"/>
  <c r="AR151" i="1"/>
  <c r="AH152" i="1"/>
  <c r="AL152" i="1"/>
  <c r="AQ152" i="1"/>
  <c r="AR152" i="1"/>
  <c r="AH153" i="1"/>
  <c r="AL153" i="1"/>
  <c r="AQ153" i="1"/>
  <c r="AR153" i="1"/>
  <c r="AH154" i="1"/>
  <c r="AL154" i="1"/>
  <c r="AQ154" i="1"/>
  <c r="AR154" i="1"/>
  <c r="AH155" i="1"/>
  <c r="AL155" i="1"/>
  <c r="AQ155" i="1"/>
  <c r="AR155" i="1"/>
  <c r="AH156" i="1"/>
  <c r="AL156" i="1"/>
  <c r="AQ156" i="1"/>
  <c r="AR156" i="1"/>
  <c r="AH157" i="1"/>
  <c r="AL157" i="1"/>
  <c r="AQ157" i="1"/>
  <c r="AR157" i="1"/>
  <c r="AH158" i="1"/>
  <c r="AL158" i="1"/>
  <c r="AQ158" i="1"/>
  <c r="AR158" i="1"/>
  <c r="AH159" i="1"/>
  <c r="AL159" i="1"/>
  <c r="AQ159" i="1"/>
  <c r="AR159" i="1"/>
  <c r="AH160" i="1"/>
  <c r="AL160" i="1"/>
  <c r="AQ160" i="1"/>
  <c r="AR160" i="1"/>
  <c r="AH161" i="1"/>
  <c r="AL161" i="1"/>
  <c r="AQ161" i="1"/>
  <c r="AR161" i="1"/>
  <c r="AH162" i="1"/>
  <c r="AL162" i="1"/>
  <c r="AQ162" i="1"/>
  <c r="AR162" i="1"/>
  <c r="AH163" i="1"/>
  <c r="AL163" i="1"/>
  <c r="AQ163" i="1"/>
  <c r="AR163" i="1"/>
  <c r="AH164" i="1"/>
  <c r="AL164" i="1"/>
  <c r="AQ164" i="1"/>
  <c r="AR164" i="1"/>
  <c r="AH165" i="1"/>
  <c r="AL165" i="1"/>
  <c r="AQ165" i="1"/>
  <c r="AR165" i="1"/>
  <c r="AH166" i="1"/>
  <c r="AL166" i="1"/>
  <c r="AQ166" i="1"/>
  <c r="AR166" i="1"/>
  <c r="AH167" i="1"/>
  <c r="AL167" i="1"/>
  <c r="AQ167" i="1"/>
  <c r="AR167" i="1"/>
  <c r="AH168" i="1"/>
  <c r="AL168" i="1"/>
  <c r="AQ168" i="1"/>
  <c r="AR168" i="1"/>
  <c r="AH169" i="1"/>
  <c r="AL169" i="1"/>
  <c r="AQ169" i="1"/>
  <c r="AR169" i="1"/>
  <c r="AH170" i="1"/>
  <c r="AL170" i="1"/>
  <c r="AQ170" i="1"/>
  <c r="AR170" i="1"/>
  <c r="AH171" i="1"/>
  <c r="AL171" i="1"/>
  <c r="AQ171" i="1"/>
  <c r="AR171" i="1"/>
  <c r="AH172" i="1"/>
  <c r="AL172" i="1"/>
  <c r="AQ172" i="1"/>
  <c r="AR172" i="1"/>
  <c r="AH173" i="1"/>
  <c r="AL173" i="1"/>
  <c r="AQ173" i="1"/>
  <c r="AR173" i="1"/>
  <c r="AH174" i="1"/>
  <c r="AL174" i="1"/>
  <c r="AQ174" i="1"/>
  <c r="AR174" i="1"/>
  <c r="AH175" i="1"/>
  <c r="AL175" i="1"/>
  <c r="AQ175" i="1"/>
  <c r="AR175" i="1"/>
  <c r="AH176" i="1"/>
  <c r="AL176" i="1"/>
  <c r="AQ176" i="1"/>
  <c r="AR176" i="1"/>
  <c r="AH177" i="1"/>
  <c r="AL177" i="1"/>
  <c r="AQ177" i="1"/>
  <c r="AR177" i="1"/>
  <c r="AH178" i="1"/>
  <c r="AL178" i="1"/>
  <c r="AQ178" i="1"/>
  <c r="AR178" i="1"/>
  <c r="AH179" i="1"/>
  <c r="AL179" i="1"/>
  <c r="AQ179" i="1"/>
  <c r="AR179" i="1"/>
  <c r="AH180" i="1"/>
  <c r="AL180" i="1"/>
  <c r="AQ180" i="1"/>
  <c r="AR180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" i="1"/>
  <c r="BN3" i="1" l="1"/>
  <c r="BM3" i="1"/>
  <c r="BM67" i="1"/>
  <c r="BM75" i="1"/>
  <c r="BM95" i="1"/>
  <c r="BM115" i="1"/>
  <c r="BM131" i="1"/>
  <c r="BM171" i="1"/>
  <c r="BM60" i="1"/>
  <c r="BM64" i="1"/>
  <c r="BM92" i="1"/>
  <c r="BM4" i="1"/>
  <c r="BM40" i="1"/>
  <c r="BM52" i="1"/>
  <c r="BM104" i="1"/>
  <c r="BM116" i="1"/>
  <c r="BM140" i="1"/>
  <c r="BM13" i="1"/>
  <c r="BM17" i="1"/>
  <c r="BM41" i="1"/>
  <c r="BM85" i="1"/>
  <c r="BM125" i="1"/>
  <c r="BM153" i="1"/>
  <c r="BM22" i="1"/>
  <c r="BM30" i="1"/>
  <c r="BM34" i="1"/>
  <c r="BM150" i="1"/>
  <c r="BM158" i="1"/>
  <c r="AJ181" i="1"/>
  <c r="AN181" i="1"/>
  <c r="Y181" i="1"/>
  <c r="AI181" i="1"/>
  <c r="AL181" i="1"/>
  <c r="AL182" i="1" s="1"/>
  <c r="BQ181" i="1"/>
  <c r="AK181" i="1"/>
  <c r="BM181" i="1"/>
  <c r="AP181" i="1"/>
  <c r="BP3" i="1"/>
  <c r="BC3" i="1"/>
  <c r="BQ3" i="1"/>
  <c r="AM181" i="1"/>
  <c r="BR3" i="1"/>
  <c r="BO3" i="1"/>
  <c r="AT181" i="1"/>
  <c r="AO181" i="1"/>
  <c r="AF3" i="1"/>
  <c r="BD3" i="1"/>
  <c r="AC3" i="1"/>
  <c r="AG3" i="1"/>
  <c r="BE3" i="1"/>
  <c r="Z181" i="1"/>
  <c r="AD3" i="1"/>
  <c r="BB3" i="1"/>
  <c r="BF3" i="1"/>
  <c r="AA181" i="1"/>
  <c r="AE3" i="1"/>
  <c r="AQ181" i="1"/>
  <c r="AH181" i="1"/>
  <c r="BF180" i="1"/>
  <c r="BB180" i="1"/>
  <c r="BC179" i="1"/>
  <c r="BD178" i="1"/>
  <c r="BE177" i="1"/>
  <c r="BF176" i="1"/>
  <c r="BB176" i="1"/>
  <c r="BC174" i="1"/>
  <c r="BD173" i="1"/>
  <c r="BE172" i="1"/>
  <c r="BF171" i="1"/>
  <c r="BB171" i="1"/>
  <c r="BC170" i="1"/>
  <c r="BD169" i="1"/>
  <c r="BE168" i="1"/>
  <c r="BF167" i="1"/>
  <c r="BB167" i="1"/>
  <c r="BC166" i="1"/>
  <c r="BD165" i="1"/>
  <c r="BE164" i="1"/>
  <c r="BF163" i="1"/>
  <c r="BB163" i="1"/>
  <c r="BC162" i="1"/>
  <c r="BD161" i="1"/>
  <c r="BE160" i="1"/>
  <c r="BF159" i="1"/>
  <c r="BB159" i="1"/>
  <c r="BC158" i="1"/>
  <c r="BD157" i="1"/>
  <c r="BE155" i="1"/>
  <c r="BF154" i="1"/>
  <c r="BB154" i="1"/>
  <c r="BC153" i="1"/>
  <c r="BD152" i="1"/>
  <c r="BE151" i="1"/>
  <c r="BF150" i="1"/>
  <c r="BB150" i="1"/>
  <c r="BC149" i="1"/>
  <c r="BD148" i="1"/>
  <c r="BE147" i="1"/>
  <c r="BF146" i="1"/>
  <c r="BB146" i="1"/>
  <c r="BC145" i="1"/>
  <c r="BD144" i="1"/>
  <c r="BE143" i="1"/>
  <c r="BF142" i="1"/>
  <c r="BB142" i="1"/>
  <c r="BC141" i="1"/>
  <c r="BD140" i="1"/>
  <c r="BE139" i="1"/>
  <c r="BF138" i="1"/>
  <c r="BB138" i="1"/>
  <c r="BC137" i="1"/>
  <c r="BD136" i="1"/>
  <c r="BE135" i="1"/>
  <c r="BF134" i="1"/>
  <c r="BB134" i="1"/>
  <c r="BC133" i="1"/>
  <c r="BD132" i="1"/>
  <c r="BE131" i="1"/>
  <c r="BF130" i="1"/>
  <c r="BB130" i="1"/>
  <c r="BC129" i="1"/>
  <c r="BD128" i="1"/>
  <c r="BE127" i="1"/>
  <c r="BF126" i="1"/>
  <c r="BB126" i="1"/>
  <c r="BC125" i="1"/>
  <c r="BD124" i="1"/>
  <c r="BE123" i="1"/>
  <c r="BF122" i="1"/>
  <c r="BB122" i="1"/>
  <c r="BE180" i="1"/>
  <c r="BF179" i="1"/>
  <c r="BB179" i="1"/>
  <c r="BC178" i="1"/>
  <c r="BD177" i="1"/>
  <c r="BE176" i="1"/>
  <c r="BF174" i="1"/>
  <c r="BB174" i="1"/>
  <c r="BC173" i="1"/>
  <c r="BD172" i="1"/>
  <c r="BE171" i="1"/>
  <c r="BF170" i="1"/>
  <c r="BB170" i="1"/>
  <c r="BC169" i="1"/>
  <c r="BD168" i="1"/>
  <c r="BE167" i="1"/>
  <c r="BF166" i="1"/>
  <c r="BB166" i="1"/>
  <c r="BC165" i="1"/>
  <c r="BD164" i="1"/>
  <c r="BE163" i="1"/>
  <c r="BF162" i="1"/>
  <c r="BB162" i="1"/>
  <c r="BC161" i="1"/>
  <c r="BD160" i="1"/>
  <c r="BE159" i="1"/>
  <c r="BF158" i="1"/>
  <c r="BB158" i="1"/>
  <c r="BC157" i="1"/>
  <c r="BD155" i="1"/>
  <c r="BE154" i="1"/>
  <c r="BF153" i="1"/>
  <c r="BB153" i="1"/>
  <c r="BC152" i="1"/>
  <c r="BD151" i="1"/>
  <c r="BE150" i="1"/>
  <c r="BF149" i="1"/>
  <c r="BB149" i="1"/>
  <c r="BC148" i="1"/>
  <c r="BD147" i="1"/>
  <c r="BE146" i="1"/>
  <c r="BF145" i="1"/>
  <c r="BB145" i="1"/>
  <c r="BC144" i="1"/>
  <c r="BD143" i="1"/>
  <c r="BE142" i="1"/>
  <c r="BF141" i="1"/>
  <c r="BB141" i="1"/>
  <c r="BC140" i="1"/>
  <c r="BD139" i="1"/>
  <c r="BE138" i="1"/>
  <c r="BF137" i="1"/>
  <c r="BB137" i="1"/>
  <c r="BC136" i="1"/>
  <c r="BD135" i="1"/>
  <c r="BE134" i="1"/>
  <c r="BF133" i="1"/>
  <c r="BB133" i="1"/>
  <c r="BC132" i="1"/>
  <c r="BD131" i="1"/>
  <c r="BE130" i="1"/>
  <c r="BF129" i="1"/>
  <c r="BB129" i="1"/>
  <c r="BC128" i="1"/>
  <c r="BD127" i="1"/>
  <c r="BE126" i="1"/>
  <c r="BF125" i="1"/>
  <c r="BB125" i="1"/>
  <c r="BC124" i="1"/>
  <c r="BD123" i="1"/>
  <c r="BE122" i="1"/>
  <c r="BF121" i="1"/>
  <c r="BB121" i="1"/>
  <c r="BC120" i="1"/>
  <c r="BD119" i="1"/>
  <c r="BE118" i="1"/>
  <c r="BF117" i="1"/>
  <c r="BB117" i="1"/>
  <c r="BC116" i="1"/>
  <c r="BD115" i="1"/>
  <c r="BE114" i="1"/>
  <c r="BF113" i="1"/>
  <c r="BB113" i="1"/>
  <c r="BC111" i="1"/>
  <c r="BC180" i="1"/>
  <c r="BE178" i="1"/>
  <c r="BB177" i="1"/>
  <c r="BD174" i="1"/>
  <c r="BF172" i="1"/>
  <c r="BC171" i="1"/>
  <c r="BE169" i="1"/>
  <c r="BB168" i="1"/>
  <c r="BD166" i="1"/>
  <c r="BF164" i="1"/>
  <c r="BC163" i="1"/>
  <c r="BE161" i="1"/>
  <c r="BB160" i="1"/>
  <c r="BD158" i="1"/>
  <c r="BF155" i="1"/>
  <c r="BC154" i="1"/>
  <c r="BE152" i="1"/>
  <c r="BB151" i="1"/>
  <c r="BD149" i="1"/>
  <c r="BF147" i="1"/>
  <c r="BC146" i="1"/>
  <c r="BE144" i="1"/>
  <c r="BB143" i="1"/>
  <c r="BD141" i="1"/>
  <c r="BF139" i="1"/>
  <c r="BC138" i="1"/>
  <c r="BE136" i="1"/>
  <c r="BB135" i="1"/>
  <c r="BD133" i="1"/>
  <c r="BF131" i="1"/>
  <c r="BC130" i="1"/>
  <c r="BE128" i="1"/>
  <c r="BB127" i="1"/>
  <c r="BD125" i="1"/>
  <c r="BF123" i="1"/>
  <c r="BC122" i="1"/>
  <c r="BF120" i="1"/>
  <c r="BF119" i="1"/>
  <c r="BF118" i="1"/>
  <c r="BE117" i="1"/>
  <c r="BE116" i="1"/>
  <c r="BE115" i="1"/>
  <c r="BD114" i="1"/>
  <c r="BD113" i="1"/>
  <c r="BD111" i="1"/>
  <c r="BD109" i="1"/>
  <c r="BE108" i="1"/>
  <c r="BF106" i="1"/>
  <c r="BB106" i="1"/>
  <c r="BC105" i="1"/>
  <c r="BD104" i="1"/>
  <c r="BE103" i="1"/>
  <c r="BF102" i="1"/>
  <c r="BB102" i="1"/>
  <c r="BC101" i="1"/>
  <c r="BD100" i="1"/>
  <c r="BE99" i="1"/>
  <c r="BF98" i="1"/>
  <c r="BB98" i="1"/>
  <c r="BC97" i="1"/>
  <c r="BD96" i="1"/>
  <c r="BE95" i="1"/>
  <c r="BF94" i="1"/>
  <c r="BB94" i="1"/>
  <c r="BC93" i="1"/>
  <c r="BD92" i="1"/>
  <c r="BE91" i="1"/>
  <c r="BF90" i="1"/>
  <c r="BB90" i="1"/>
  <c r="BC89" i="1"/>
  <c r="BD88" i="1"/>
  <c r="BE87" i="1"/>
  <c r="BF86" i="1"/>
  <c r="BB86" i="1"/>
  <c r="BC85" i="1"/>
  <c r="BD84" i="1"/>
  <c r="BE83" i="1"/>
  <c r="BF82" i="1"/>
  <c r="BB82" i="1"/>
  <c r="BE179" i="1"/>
  <c r="BB178" i="1"/>
  <c r="BD176" i="1"/>
  <c r="BF173" i="1"/>
  <c r="BC172" i="1"/>
  <c r="BE170" i="1"/>
  <c r="BB169" i="1"/>
  <c r="BD167" i="1"/>
  <c r="BF165" i="1"/>
  <c r="BC164" i="1"/>
  <c r="BE162" i="1"/>
  <c r="BB161" i="1"/>
  <c r="BD159" i="1"/>
  <c r="BF157" i="1"/>
  <c r="BC155" i="1"/>
  <c r="BE153" i="1"/>
  <c r="BB152" i="1"/>
  <c r="BD150" i="1"/>
  <c r="BF148" i="1"/>
  <c r="BC147" i="1"/>
  <c r="BE145" i="1"/>
  <c r="BB144" i="1"/>
  <c r="BD142" i="1"/>
  <c r="BF140" i="1"/>
  <c r="BC139" i="1"/>
  <c r="BE137" i="1"/>
  <c r="BB136" i="1"/>
  <c r="BD134" i="1"/>
  <c r="BF132" i="1"/>
  <c r="BC131" i="1"/>
  <c r="BE129" i="1"/>
  <c r="BB128" i="1"/>
  <c r="BD126" i="1"/>
  <c r="BF124" i="1"/>
  <c r="BC123" i="1"/>
  <c r="BE121" i="1"/>
  <c r="BE120" i="1"/>
  <c r="BE119" i="1"/>
  <c r="BD118" i="1"/>
  <c r="BD117" i="1"/>
  <c r="BD116" i="1"/>
  <c r="BC115" i="1"/>
  <c r="BC114" i="1"/>
  <c r="BC113" i="1"/>
  <c r="BB111" i="1"/>
  <c r="BC109" i="1"/>
  <c r="BD108" i="1"/>
  <c r="BE106" i="1"/>
  <c r="BF105" i="1"/>
  <c r="BB105" i="1"/>
  <c r="BC104" i="1"/>
  <c r="BD103" i="1"/>
  <c r="BE102" i="1"/>
  <c r="BF101" i="1"/>
  <c r="BB101" i="1"/>
  <c r="BC100" i="1"/>
  <c r="BD99" i="1"/>
  <c r="BE98" i="1"/>
  <c r="BF97" i="1"/>
  <c r="BB97" i="1"/>
  <c r="BC96" i="1"/>
  <c r="BD95" i="1"/>
  <c r="BE94" i="1"/>
  <c r="BF93" i="1"/>
  <c r="BB93" i="1"/>
  <c r="BC92" i="1"/>
  <c r="BD91" i="1"/>
  <c r="BE90" i="1"/>
  <c r="BF89" i="1"/>
  <c r="BB89" i="1"/>
  <c r="BC88" i="1"/>
  <c r="BD87" i="1"/>
  <c r="BE86" i="1"/>
  <c r="BF85" i="1"/>
  <c r="BB85" i="1"/>
  <c r="BC84" i="1"/>
  <c r="BD83" i="1"/>
  <c r="BE82" i="1"/>
  <c r="BF81" i="1"/>
  <c r="BB81" i="1"/>
  <c r="BC80" i="1"/>
  <c r="BD79" i="1"/>
  <c r="BE78" i="1"/>
  <c r="BF77" i="1"/>
  <c r="BF177" i="1"/>
  <c r="BE173" i="1"/>
  <c r="BD170" i="1"/>
  <c r="BC167" i="1"/>
  <c r="BB164" i="1"/>
  <c r="BF160" i="1"/>
  <c r="BE157" i="1"/>
  <c r="BD153" i="1"/>
  <c r="BC150" i="1"/>
  <c r="BB147" i="1"/>
  <c r="BF143" i="1"/>
  <c r="BE140" i="1"/>
  <c r="BD137" i="1"/>
  <c r="BC134" i="1"/>
  <c r="BB131" i="1"/>
  <c r="BF127" i="1"/>
  <c r="BE124" i="1"/>
  <c r="BD121" i="1"/>
  <c r="BC119" i="1"/>
  <c r="BC117" i="1"/>
  <c r="BB115" i="1"/>
  <c r="BF111" i="1"/>
  <c r="BB109" i="1"/>
  <c r="BD106" i="1"/>
  <c r="BF104" i="1"/>
  <c r="BC103" i="1"/>
  <c r="BE101" i="1"/>
  <c r="BB100" i="1"/>
  <c r="BD98" i="1"/>
  <c r="BF96" i="1"/>
  <c r="BC95" i="1"/>
  <c r="BE93" i="1"/>
  <c r="BB92" i="1"/>
  <c r="BD90" i="1"/>
  <c r="BF88" i="1"/>
  <c r="BC87" i="1"/>
  <c r="BE85" i="1"/>
  <c r="BB84" i="1"/>
  <c r="BD82" i="1"/>
  <c r="BC81" i="1"/>
  <c r="BB80" i="1"/>
  <c r="BB79" i="1"/>
  <c r="BB78" i="1"/>
  <c r="BB77" i="1"/>
  <c r="BC76" i="1"/>
  <c r="BD75" i="1"/>
  <c r="BE74" i="1"/>
  <c r="BF73" i="1"/>
  <c r="BB73" i="1"/>
  <c r="BC72" i="1"/>
  <c r="BD71" i="1"/>
  <c r="BE70" i="1"/>
  <c r="BF69" i="1"/>
  <c r="BB69" i="1"/>
  <c r="BC68" i="1"/>
  <c r="BD67" i="1"/>
  <c r="BE66" i="1"/>
  <c r="BF65" i="1"/>
  <c r="BB65" i="1"/>
  <c r="BC64" i="1"/>
  <c r="BD63" i="1"/>
  <c r="BE62" i="1"/>
  <c r="BF61" i="1"/>
  <c r="BB61" i="1"/>
  <c r="BC60" i="1"/>
  <c r="BD59" i="1"/>
  <c r="BE58" i="1"/>
  <c r="BF57" i="1"/>
  <c r="BB57" i="1"/>
  <c r="BC56" i="1"/>
  <c r="BD55" i="1"/>
  <c r="BE54" i="1"/>
  <c r="BF53" i="1"/>
  <c r="BB53" i="1"/>
  <c r="BC52" i="1"/>
  <c r="BD51" i="1"/>
  <c r="BE50" i="1"/>
  <c r="BF49" i="1"/>
  <c r="BB49" i="1"/>
  <c r="BC48" i="1"/>
  <c r="BD47" i="1"/>
  <c r="BE46" i="1"/>
  <c r="BF45" i="1"/>
  <c r="BB45" i="1"/>
  <c r="BD180" i="1"/>
  <c r="BC177" i="1"/>
  <c r="BB173" i="1"/>
  <c r="BF169" i="1"/>
  <c r="BE166" i="1"/>
  <c r="BD163" i="1"/>
  <c r="BC160" i="1"/>
  <c r="BB157" i="1"/>
  <c r="BF152" i="1"/>
  <c r="BE149" i="1"/>
  <c r="BD146" i="1"/>
  <c r="BC143" i="1"/>
  <c r="BB140" i="1"/>
  <c r="BF136" i="1"/>
  <c r="BE133" i="1"/>
  <c r="BD130" i="1"/>
  <c r="BC127" i="1"/>
  <c r="BB124" i="1"/>
  <c r="BC121" i="1"/>
  <c r="BB119" i="1"/>
  <c r="BF116" i="1"/>
  <c r="BF114" i="1"/>
  <c r="BE111" i="1"/>
  <c r="BF108" i="1"/>
  <c r="BC106" i="1"/>
  <c r="BE104" i="1"/>
  <c r="BB103" i="1"/>
  <c r="BD101" i="1"/>
  <c r="BF99" i="1"/>
  <c r="BC98" i="1"/>
  <c r="BE96" i="1"/>
  <c r="BB95" i="1"/>
  <c r="BD93" i="1"/>
  <c r="BF91" i="1"/>
  <c r="BC90" i="1"/>
  <c r="BE88" i="1"/>
  <c r="BB87" i="1"/>
  <c r="BD85" i="1"/>
  <c r="BF83" i="1"/>
  <c r="BC82" i="1"/>
  <c r="BF80" i="1"/>
  <c r="BF79" i="1"/>
  <c r="BF78" i="1"/>
  <c r="BE77" i="1"/>
  <c r="BF76" i="1"/>
  <c r="BB76" i="1"/>
  <c r="BC75" i="1"/>
  <c r="BD74" i="1"/>
  <c r="BE73" i="1"/>
  <c r="BF72" i="1"/>
  <c r="BB72" i="1"/>
  <c r="BC71" i="1"/>
  <c r="BD70" i="1"/>
  <c r="BE69" i="1"/>
  <c r="BF68" i="1"/>
  <c r="BB68" i="1"/>
  <c r="BC67" i="1"/>
  <c r="BD66" i="1"/>
  <c r="BE65" i="1"/>
  <c r="BF64" i="1"/>
  <c r="BB64" i="1"/>
  <c r="BC63" i="1"/>
  <c r="BD62" i="1"/>
  <c r="BE61" i="1"/>
  <c r="BF60" i="1"/>
  <c r="BB60" i="1"/>
  <c r="BC59" i="1"/>
  <c r="BD58" i="1"/>
  <c r="BE57" i="1"/>
  <c r="BF56" i="1"/>
  <c r="BB56" i="1"/>
  <c r="BC55" i="1"/>
  <c r="BD54" i="1"/>
  <c r="BE53" i="1"/>
  <c r="BF52" i="1"/>
  <c r="BB52" i="1"/>
  <c r="BC51" i="1"/>
  <c r="BD50" i="1"/>
  <c r="BE49" i="1"/>
  <c r="BF48" i="1"/>
  <c r="BB48" i="1"/>
  <c r="BC47" i="1"/>
  <c r="BD46" i="1"/>
  <c r="BE45" i="1"/>
  <c r="BF44" i="1"/>
  <c r="BB44" i="1"/>
  <c r="BC43" i="1"/>
  <c r="BD42" i="1"/>
  <c r="BE41" i="1"/>
  <c r="BF40" i="1"/>
  <c r="BB40" i="1"/>
  <c r="BC39" i="1"/>
  <c r="BD38" i="1"/>
  <c r="BE37" i="1"/>
  <c r="BF36" i="1"/>
  <c r="BB36" i="1"/>
  <c r="BC35" i="1"/>
  <c r="BD34" i="1"/>
  <c r="BE33" i="1"/>
  <c r="BF32" i="1"/>
  <c r="BB32" i="1"/>
  <c r="BC31" i="1"/>
  <c r="BD30" i="1"/>
  <c r="BE29" i="1"/>
  <c r="BF28" i="1"/>
  <c r="BB28" i="1"/>
  <c r="BC27" i="1"/>
  <c r="BD26" i="1"/>
  <c r="BE25" i="1"/>
  <c r="BF24" i="1"/>
  <c r="BB24" i="1"/>
  <c r="BC23" i="1"/>
  <c r="BD22" i="1"/>
  <c r="BE21" i="1"/>
  <c r="BF20" i="1"/>
  <c r="BB20" i="1"/>
  <c r="BC19" i="1"/>
  <c r="BD18" i="1"/>
  <c r="BE17" i="1"/>
  <c r="BF16" i="1"/>
  <c r="BB16" i="1"/>
  <c r="BC15" i="1"/>
  <c r="BD14" i="1"/>
  <c r="BE13" i="1"/>
  <c r="BF12" i="1"/>
  <c r="BB12" i="1"/>
  <c r="BC11" i="1"/>
  <c r="BD10" i="1"/>
  <c r="BE9" i="1"/>
  <c r="BF8" i="1"/>
  <c r="BB8" i="1"/>
  <c r="BC7" i="1"/>
  <c r="BD6" i="1"/>
  <c r="BE5" i="1"/>
  <c r="BF4" i="1"/>
  <c r="BB4" i="1"/>
  <c r="BD179" i="1"/>
  <c r="BB172" i="1"/>
  <c r="BE165" i="1"/>
  <c r="BC159" i="1"/>
  <c r="BF151" i="1"/>
  <c r="BD145" i="1"/>
  <c r="BB139" i="1"/>
  <c r="BE132" i="1"/>
  <c r="BC126" i="1"/>
  <c r="BD120" i="1"/>
  <c r="BB116" i="1"/>
  <c r="BF109" i="1"/>
  <c r="BE105" i="1"/>
  <c r="BD102" i="1"/>
  <c r="BC99" i="1"/>
  <c r="BB96" i="1"/>
  <c r="BF92" i="1"/>
  <c r="BE89" i="1"/>
  <c r="BD86" i="1"/>
  <c r="BC83" i="1"/>
  <c r="BE80" i="1"/>
  <c r="BD78" i="1"/>
  <c r="BE76" i="1"/>
  <c r="BB75" i="1"/>
  <c r="BD73" i="1"/>
  <c r="BF71" i="1"/>
  <c r="BC70" i="1"/>
  <c r="BE68" i="1"/>
  <c r="BB67" i="1"/>
  <c r="BD65" i="1"/>
  <c r="BF63" i="1"/>
  <c r="BC62" i="1"/>
  <c r="BE60" i="1"/>
  <c r="BB59" i="1"/>
  <c r="BD57" i="1"/>
  <c r="BF55" i="1"/>
  <c r="BC54" i="1"/>
  <c r="BE52" i="1"/>
  <c r="BB51" i="1"/>
  <c r="BD49" i="1"/>
  <c r="BF47" i="1"/>
  <c r="BC46" i="1"/>
  <c r="BE44" i="1"/>
  <c r="BE43" i="1"/>
  <c r="BE42" i="1"/>
  <c r="BD41" i="1"/>
  <c r="BD40" i="1"/>
  <c r="BD39" i="1"/>
  <c r="BC38" i="1"/>
  <c r="BC37" i="1"/>
  <c r="BC36" i="1"/>
  <c r="BB35" i="1"/>
  <c r="BB34" i="1"/>
  <c r="BB33" i="1"/>
  <c r="BF31" i="1"/>
  <c r="BF30" i="1"/>
  <c r="BF29" i="1"/>
  <c r="BE28" i="1"/>
  <c r="BE27" i="1"/>
  <c r="BE26" i="1"/>
  <c r="BD25" i="1"/>
  <c r="BD24" i="1"/>
  <c r="BD23" i="1"/>
  <c r="BC22" i="1"/>
  <c r="BC21" i="1"/>
  <c r="BC20" i="1"/>
  <c r="BB19" i="1"/>
  <c r="BB18" i="1"/>
  <c r="BB17" i="1"/>
  <c r="BF15" i="1"/>
  <c r="BF14" i="1"/>
  <c r="BF13" i="1"/>
  <c r="BE12" i="1"/>
  <c r="BE11" i="1"/>
  <c r="BE10" i="1"/>
  <c r="BD9" i="1"/>
  <c r="BD8" i="1"/>
  <c r="BD7" i="1"/>
  <c r="BC6" i="1"/>
  <c r="BC5" i="1"/>
  <c r="BC4" i="1"/>
  <c r="AG180" i="1"/>
  <c r="AC180" i="1"/>
  <c r="AD179" i="1"/>
  <c r="AE178" i="1"/>
  <c r="AF177" i="1"/>
  <c r="AG176" i="1"/>
  <c r="AC176" i="1"/>
  <c r="AD174" i="1"/>
  <c r="AE173" i="1"/>
  <c r="AF172" i="1"/>
  <c r="AG171" i="1"/>
  <c r="AC171" i="1"/>
  <c r="AD170" i="1"/>
  <c r="AE169" i="1"/>
  <c r="AF168" i="1"/>
  <c r="AG167" i="1"/>
  <c r="AC167" i="1"/>
  <c r="AD166" i="1"/>
  <c r="AE165" i="1"/>
  <c r="AF164" i="1"/>
  <c r="AG163" i="1"/>
  <c r="AC163" i="1"/>
  <c r="AD162" i="1"/>
  <c r="AE161" i="1"/>
  <c r="AF160" i="1"/>
  <c r="AG159" i="1"/>
  <c r="AC159" i="1"/>
  <c r="AD158" i="1"/>
  <c r="AE157" i="1"/>
  <c r="AF155" i="1"/>
  <c r="AG154" i="1"/>
  <c r="AC154" i="1"/>
  <c r="AD153" i="1"/>
  <c r="AE152" i="1"/>
  <c r="AF151" i="1"/>
  <c r="AG150" i="1"/>
  <c r="AC150" i="1"/>
  <c r="AD149" i="1"/>
  <c r="AE148" i="1"/>
  <c r="AF147" i="1"/>
  <c r="AG146" i="1"/>
  <c r="AC146" i="1"/>
  <c r="AD145" i="1"/>
  <c r="AE144" i="1"/>
  <c r="AF143" i="1"/>
  <c r="AG142" i="1"/>
  <c r="AC142" i="1"/>
  <c r="AD141" i="1"/>
  <c r="AE140" i="1"/>
  <c r="AF139" i="1"/>
  <c r="AG138" i="1"/>
  <c r="AC138" i="1"/>
  <c r="AD137" i="1"/>
  <c r="AE136" i="1"/>
  <c r="AF135" i="1"/>
  <c r="AG134" i="1"/>
  <c r="AC134" i="1"/>
  <c r="AD133" i="1"/>
  <c r="AE132" i="1"/>
  <c r="AF131" i="1"/>
  <c r="AG130" i="1"/>
  <c r="AC130" i="1"/>
  <c r="AD129" i="1"/>
  <c r="AE128" i="1"/>
  <c r="AF127" i="1"/>
  <c r="AG126" i="1"/>
  <c r="AC126" i="1"/>
  <c r="AD125" i="1"/>
  <c r="AE124" i="1"/>
  <c r="AF123" i="1"/>
  <c r="AG122" i="1"/>
  <c r="AC122" i="1"/>
  <c r="AD121" i="1"/>
  <c r="AE120" i="1"/>
  <c r="AF119" i="1"/>
  <c r="AG118" i="1"/>
  <c r="AC118" i="1"/>
  <c r="AD117" i="1"/>
  <c r="AE116" i="1"/>
  <c r="AF115" i="1"/>
  <c r="AG114" i="1"/>
  <c r="AC114" i="1"/>
  <c r="AD113" i="1"/>
  <c r="AE111" i="1"/>
  <c r="AF109" i="1"/>
  <c r="AG108" i="1"/>
  <c r="BF178" i="1"/>
  <c r="BD171" i="1"/>
  <c r="BB165" i="1"/>
  <c r="BE158" i="1"/>
  <c r="BC151" i="1"/>
  <c r="BF144" i="1"/>
  <c r="BD138" i="1"/>
  <c r="BB132" i="1"/>
  <c r="BE125" i="1"/>
  <c r="BB120" i="1"/>
  <c r="BF115" i="1"/>
  <c r="BF181" i="1" s="1"/>
  <c r="BE109" i="1"/>
  <c r="BD105" i="1"/>
  <c r="BC102" i="1"/>
  <c r="BB99" i="1"/>
  <c r="BF95" i="1"/>
  <c r="BE92" i="1"/>
  <c r="BD89" i="1"/>
  <c r="BC86" i="1"/>
  <c r="BB83" i="1"/>
  <c r="BD80" i="1"/>
  <c r="BC78" i="1"/>
  <c r="BD76" i="1"/>
  <c r="BF74" i="1"/>
  <c r="BC73" i="1"/>
  <c r="BE71" i="1"/>
  <c r="BB70" i="1"/>
  <c r="BD68" i="1"/>
  <c r="BF66" i="1"/>
  <c r="BC65" i="1"/>
  <c r="BE63" i="1"/>
  <c r="BB62" i="1"/>
  <c r="BD60" i="1"/>
  <c r="BF58" i="1"/>
  <c r="BC57" i="1"/>
  <c r="BE55" i="1"/>
  <c r="BB54" i="1"/>
  <c r="BD52" i="1"/>
  <c r="BF50" i="1"/>
  <c r="BC49" i="1"/>
  <c r="BE47" i="1"/>
  <c r="BB46" i="1"/>
  <c r="BD44" i="1"/>
  <c r="BD43" i="1"/>
  <c r="BC42" i="1"/>
  <c r="BC41" i="1"/>
  <c r="BC40" i="1"/>
  <c r="BB39" i="1"/>
  <c r="BB38" i="1"/>
  <c r="BB37" i="1"/>
  <c r="BF35" i="1"/>
  <c r="BF34" i="1"/>
  <c r="BF33" i="1"/>
  <c r="BE32" i="1"/>
  <c r="BE31" i="1"/>
  <c r="BE30" i="1"/>
  <c r="BD29" i="1"/>
  <c r="BD28" i="1"/>
  <c r="BD27" i="1"/>
  <c r="BC26" i="1"/>
  <c r="BC25" i="1"/>
  <c r="BC24" i="1"/>
  <c r="BB23" i="1"/>
  <c r="BB22" i="1"/>
  <c r="BB21" i="1"/>
  <c r="BF19" i="1"/>
  <c r="BF18" i="1"/>
  <c r="BF17" i="1"/>
  <c r="BE16" i="1"/>
  <c r="BE15" i="1"/>
  <c r="BE14" i="1"/>
  <c r="BD13" i="1"/>
  <c r="BD12" i="1"/>
  <c r="BD11" i="1"/>
  <c r="BC10" i="1"/>
  <c r="BC9" i="1"/>
  <c r="BC8" i="1"/>
  <c r="BB7" i="1"/>
  <c r="BB6" i="1"/>
  <c r="BB5" i="1"/>
  <c r="BC176" i="1"/>
  <c r="BF168" i="1"/>
  <c r="BD162" i="1"/>
  <c r="BB155" i="1"/>
  <c r="BE148" i="1"/>
  <c r="BC142" i="1"/>
  <c r="BF135" i="1"/>
  <c r="BD129" i="1"/>
  <c r="BB123" i="1"/>
  <c r="BC118" i="1"/>
  <c r="BB114" i="1"/>
  <c r="BC108" i="1"/>
  <c r="BB104" i="1"/>
  <c r="BF100" i="1"/>
  <c r="BE97" i="1"/>
  <c r="BD94" i="1"/>
  <c r="BC91" i="1"/>
  <c r="BB88" i="1"/>
  <c r="BF84" i="1"/>
  <c r="BE81" i="1"/>
  <c r="BE79" i="1"/>
  <c r="BD77" i="1"/>
  <c r="BF75" i="1"/>
  <c r="BC74" i="1"/>
  <c r="BE72" i="1"/>
  <c r="BB71" i="1"/>
  <c r="BD69" i="1"/>
  <c r="BF67" i="1"/>
  <c r="BC66" i="1"/>
  <c r="BE64" i="1"/>
  <c r="BB63" i="1"/>
  <c r="BD61" i="1"/>
  <c r="BF59" i="1"/>
  <c r="BC58" i="1"/>
  <c r="BE56" i="1"/>
  <c r="BB55" i="1"/>
  <c r="BD53" i="1"/>
  <c r="BF51" i="1"/>
  <c r="BC50" i="1"/>
  <c r="BE48" i="1"/>
  <c r="BB47" i="1"/>
  <c r="BD45" i="1"/>
  <c r="BC44" i="1"/>
  <c r="BB43" i="1"/>
  <c r="BB42" i="1"/>
  <c r="BB41" i="1"/>
  <c r="BF39" i="1"/>
  <c r="BF38" i="1"/>
  <c r="BF37" i="1"/>
  <c r="BE36" i="1"/>
  <c r="BE35" i="1"/>
  <c r="BE34" i="1"/>
  <c r="BD33" i="1"/>
  <c r="BD32" i="1"/>
  <c r="BD31" i="1"/>
  <c r="BC30" i="1"/>
  <c r="BC29" i="1"/>
  <c r="BC28" i="1"/>
  <c r="BB27" i="1"/>
  <c r="BB26" i="1"/>
  <c r="BB25" i="1"/>
  <c r="BF23" i="1"/>
  <c r="BF22" i="1"/>
  <c r="BF21" i="1"/>
  <c r="BE20" i="1"/>
  <c r="BE19" i="1"/>
  <c r="BE18" i="1"/>
  <c r="BD17" i="1"/>
  <c r="BD16" i="1"/>
  <c r="BD15" i="1"/>
  <c r="BC14" i="1"/>
  <c r="BC13" i="1"/>
  <c r="BC12" i="1"/>
  <c r="BB11" i="1"/>
  <c r="BB10" i="1"/>
  <c r="BB9" i="1"/>
  <c r="BF7" i="1"/>
  <c r="BF6" i="1"/>
  <c r="BF5" i="1"/>
  <c r="BE4" i="1"/>
  <c r="BE174" i="1"/>
  <c r="BB148" i="1"/>
  <c r="BD122" i="1"/>
  <c r="BF103" i="1"/>
  <c r="BB91" i="1"/>
  <c r="BC79" i="1"/>
  <c r="BD72" i="1"/>
  <c r="BB66" i="1"/>
  <c r="BE59" i="1"/>
  <c r="BC53" i="1"/>
  <c r="BF46" i="1"/>
  <c r="BF41" i="1"/>
  <c r="BD37" i="1"/>
  <c r="BC33" i="1"/>
  <c r="BB29" i="1"/>
  <c r="BE24" i="1"/>
  <c r="BD20" i="1"/>
  <c r="BC16" i="1"/>
  <c r="BF11" i="1"/>
  <c r="BE7" i="1"/>
  <c r="AE180" i="1"/>
  <c r="AE179" i="1"/>
  <c r="AD178" i="1"/>
  <c r="AD177" i="1"/>
  <c r="AD176" i="1"/>
  <c r="AC174" i="1"/>
  <c r="AC173" i="1"/>
  <c r="AC172" i="1"/>
  <c r="AG170" i="1"/>
  <c r="AG169" i="1"/>
  <c r="AG168" i="1"/>
  <c r="AF167" i="1"/>
  <c r="AF166" i="1"/>
  <c r="AF165" i="1"/>
  <c r="AE164" i="1"/>
  <c r="AE163" i="1"/>
  <c r="AE162" i="1"/>
  <c r="AD161" i="1"/>
  <c r="AD160" i="1"/>
  <c r="AD159" i="1"/>
  <c r="AC158" i="1"/>
  <c r="AC157" i="1"/>
  <c r="AC155" i="1"/>
  <c r="AG153" i="1"/>
  <c r="AG152" i="1"/>
  <c r="AG151" i="1"/>
  <c r="AF150" i="1"/>
  <c r="AF149" i="1"/>
  <c r="AF148" i="1"/>
  <c r="AE147" i="1"/>
  <c r="AE146" i="1"/>
  <c r="AE145" i="1"/>
  <c r="AD144" i="1"/>
  <c r="AD143" i="1"/>
  <c r="AD142" i="1"/>
  <c r="AC141" i="1"/>
  <c r="AC140" i="1"/>
  <c r="AC139" i="1"/>
  <c r="AG137" i="1"/>
  <c r="AG136" i="1"/>
  <c r="AG135" i="1"/>
  <c r="AF134" i="1"/>
  <c r="AF133" i="1"/>
  <c r="AF132" i="1"/>
  <c r="AE131" i="1"/>
  <c r="AE130" i="1"/>
  <c r="AE129" i="1"/>
  <c r="AD128" i="1"/>
  <c r="AD127" i="1"/>
  <c r="AD126" i="1"/>
  <c r="AC125" i="1"/>
  <c r="AC124" i="1"/>
  <c r="AC123" i="1"/>
  <c r="AG121" i="1"/>
  <c r="AG120" i="1"/>
  <c r="AG119" i="1"/>
  <c r="AF118" i="1"/>
  <c r="AF117" i="1"/>
  <c r="AF116" i="1"/>
  <c r="AE115" i="1"/>
  <c r="AE114" i="1"/>
  <c r="AE113" i="1"/>
  <c r="AD111" i="1"/>
  <c r="AD109" i="1"/>
  <c r="AD108" i="1"/>
  <c r="AE106" i="1"/>
  <c r="AF105" i="1"/>
  <c r="AG104" i="1"/>
  <c r="AC104" i="1"/>
  <c r="AD103" i="1"/>
  <c r="AE102" i="1"/>
  <c r="AF101" i="1"/>
  <c r="AG100" i="1"/>
  <c r="AC100" i="1"/>
  <c r="AD99" i="1"/>
  <c r="AE98" i="1"/>
  <c r="AF97" i="1"/>
  <c r="AG96" i="1"/>
  <c r="AC96" i="1"/>
  <c r="AD95" i="1"/>
  <c r="AE94" i="1"/>
  <c r="AF93" i="1"/>
  <c r="AG92" i="1"/>
  <c r="AC92" i="1"/>
  <c r="AD91" i="1"/>
  <c r="AE90" i="1"/>
  <c r="AF89" i="1"/>
  <c r="AG88" i="1"/>
  <c r="AC88" i="1"/>
  <c r="AD87" i="1"/>
  <c r="AE86" i="1"/>
  <c r="AF85" i="1"/>
  <c r="AG84" i="1"/>
  <c r="AC84" i="1"/>
  <c r="AD83" i="1"/>
  <c r="AE82" i="1"/>
  <c r="AF81" i="1"/>
  <c r="AG80" i="1"/>
  <c r="AC80" i="1"/>
  <c r="AD79" i="1"/>
  <c r="AE78" i="1"/>
  <c r="AF77" i="1"/>
  <c r="AG76" i="1"/>
  <c r="AC76" i="1"/>
  <c r="AD75" i="1"/>
  <c r="AE74" i="1"/>
  <c r="AF73" i="1"/>
  <c r="AG72" i="1"/>
  <c r="AC72" i="1"/>
  <c r="AD71" i="1"/>
  <c r="AE70" i="1"/>
  <c r="AF69" i="1"/>
  <c r="AG68" i="1"/>
  <c r="AC68" i="1"/>
  <c r="AD67" i="1"/>
  <c r="AE66" i="1"/>
  <c r="AF65" i="1"/>
  <c r="AG64" i="1"/>
  <c r="AC64" i="1"/>
  <c r="AD63" i="1"/>
  <c r="AE62" i="1"/>
  <c r="AF61" i="1"/>
  <c r="AG60" i="1"/>
  <c r="AC60" i="1"/>
  <c r="AD59" i="1"/>
  <c r="AE58" i="1"/>
  <c r="AF57" i="1"/>
  <c r="AG56" i="1"/>
  <c r="AC56" i="1"/>
  <c r="AD55" i="1"/>
  <c r="AE54" i="1"/>
  <c r="AF53" i="1"/>
  <c r="AG52" i="1"/>
  <c r="AC52" i="1"/>
  <c r="AD51" i="1"/>
  <c r="AE50" i="1"/>
  <c r="AF49" i="1"/>
  <c r="AG48" i="1"/>
  <c r="AC48" i="1"/>
  <c r="AD47" i="1"/>
  <c r="AE46" i="1"/>
  <c r="AF45" i="1"/>
  <c r="AG44" i="1"/>
  <c r="AC44" i="1"/>
  <c r="AD43" i="1"/>
  <c r="AE42" i="1"/>
  <c r="AF41" i="1"/>
  <c r="AG40" i="1"/>
  <c r="AC40" i="1"/>
  <c r="AD39" i="1"/>
  <c r="AE38" i="1"/>
  <c r="AF37" i="1"/>
  <c r="AG36" i="1"/>
  <c r="AC36" i="1"/>
  <c r="AD35" i="1"/>
  <c r="AE34" i="1"/>
  <c r="AF33" i="1"/>
  <c r="AG32" i="1"/>
  <c r="AC32" i="1"/>
  <c r="AD31" i="1"/>
  <c r="AE30" i="1"/>
  <c r="AF29" i="1"/>
  <c r="AG28" i="1"/>
  <c r="AC28" i="1"/>
  <c r="AD27" i="1"/>
  <c r="AE26" i="1"/>
  <c r="AF25" i="1"/>
  <c r="AG24" i="1"/>
  <c r="AC24" i="1"/>
  <c r="AD23" i="1"/>
  <c r="AE22" i="1"/>
  <c r="AF21" i="1"/>
  <c r="AG20" i="1"/>
  <c r="AC20" i="1"/>
  <c r="AD19" i="1"/>
  <c r="AE18" i="1"/>
  <c r="AF17" i="1"/>
  <c r="AG16" i="1"/>
  <c r="AC16" i="1"/>
  <c r="AD15" i="1"/>
  <c r="AE14" i="1"/>
  <c r="AF13" i="1"/>
  <c r="AG12" i="1"/>
  <c r="AC12" i="1"/>
  <c r="AD11" i="1"/>
  <c r="AE10" i="1"/>
  <c r="AF9" i="1"/>
  <c r="AG8" i="1"/>
  <c r="AC8" i="1"/>
  <c r="AD7" i="1"/>
  <c r="AE6" i="1"/>
  <c r="AF5" i="1"/>
  <c r="AG4" i="1"/>
  <c r="AC4" i="1"/>
  <c r="BC168" i="1"/>
  <c r="BE141" i="1"/>
  <c r="BB118" i="1"/>
  <c r="BE100" i="1"/>
  <c r="BF87" i="1"/>
  <c r="BC77" i="1"/>
  <c r="BF70" i="1"/>
  <c r="BD64" i="1"/>
  <c r="BB58" i="1"/>
  <c r="BE51" i="1"/>
  <c r="BC45" i="1"/>
  <c r="BE40" i="1"/>
  <c r="BD36" i="1"/>
  <c r="BC32" i="1"/>
  <c r="BF27" i="1"/>
  <c r="BE23" i="1"/>
  <c r="BD19" i="1"/>
  <c r="BB15" i="1"/>
  <c r="BF10" i="1"/>
  <c r="BE6" i="1"/>
  <c r="AD180" i="1"/>
  <c r="AC179" i="1"/>
  <c r="AC178" i="1"/>
  <c r="AC177" i="1"/>
  <c r="AG174" i="1"/>
  <c r="AG173" i="1"/>
  <c r="AG172" i="1"/>
  <c r="AF171" i="1"/>
  <c r="AF170" i="1"/>
  <c r="AF169" i="1"/>
  <c r="AE168" i="1"/>
  <c r="AE167" i="1"/>
  <c r="AE166" i="1"/>
  <c r="AD165" i="1"/>
  <c r="AD164" i="1"/>
  <c r="AD163" i="1"/>
  <c r="AC162" i="1"/>
  <c r="AC161" i="1"/>
  <c r="AC160" i="1"/>
  <c r="AG158" i="1"/>
  <c r="AG157" i="1"/>
  <c r="AG155" i="1"/>
  <c r="AF154" i="1"/>
  <c r="AF153" i="1"/>
  <c r="AF152" i="1"/>
  <c r="AE151" i="1"/>
  <c r="AE150" i="1"/>
  <c r="AE149" i="1"/>
  <c r="AD148" i="1"/>
  <c r="AD147" i="1"/>
  <c r="AD146" i="1"/>
  <c r="AC145" i="1"/>
  <c r="AC144" i="1"/>
  <c r="AC143" i="1"/>
  <c r="AG141" i="1"/>
  <c r="AG140" i="1"/>
  <c r="AG139" i="1"/>
  <c r="AF138" i="1"/>
  <c r="AF137" i="1"/>
  <c r="AF136" i="1"/>
  <c r="AE135" i="1"/>
  <c r="AE134" i="1"/>
  <c r="AE133" i="1"/>
  <c r="AD132" i="1"/>
  <c r="AD131" i="1"/>
  <c r="AD130" i="1"/>
  <c r="AC129" i="1"/>
  <c r="AC128" i="1"/>
  <c r="AC127" i="1"/>
  <c r="AG125" i="1"/>
  <c r="AG124" i="1"/>
  <c r="AG123" i="1"/>
  <c r="AF122" i="1"/>
  <c r="AF121" i="1"/>
  <c r="AF120" i="1"/>
  <c r="AE119" i="1"/>
  <c r="AE118" i="1"/>
  <c r="AE117" i="1"/>
  <c r="AD116" i="1"/>
  <c r="AD115" i="1"/>
  <c r="AD114" i="1"/>
  <c r="AC113" i="1"/>
  <c r="AC111" i="1"/>
  <c r="AC109" i="1"/>
  <c r="AC108" i="1"/>
  <c r="AD106" i="1"/>
  <c r="AE105" i="1"/>
  <c r="AF104" i="1"/>
  <c r="AG103" i="1"/>
  <c r="AC103" i="1"/>
  <c r="AD102" i="1"/>
  <c r="AE101" i="1"/>
  <c r="AF100" i="1"/>
  <c r="AG99" i="1"/>
  <c r="AC99" i="1"/>
  <c r="AD98" i="1"/>
  <c r="AE97" i="1"/>
  <c r="AF96" i="1"/>
  <c r="AG95" i="1"/>
  <c r="AC95" i="1"/>
  <c r="AD94" i="1"/>
  <c r="AE93" i="1"/>
  <c r="AF92" i="1"/>
  <c r="AG91" i="1"/>
  <c r="AC91" i="1"/>
  <c r="AD90" i="1"/>
  <c r="AE89" i="1"/>
  <c r="AF88" i="1"/>
  <c r="AG87" i="1"/>
  <c r="AC87" i="1"/>
  <c r="AD86" i="1"/>
  <c r="AE85" i="1"/>
  <c r="AF84" i="1"/>
  <c r="AG83" i="1"/>
  <c r="AC83" i="1"/>
  <c r="AD82" i="1"/>
  <c r="AE81" i="1"/>
  <c r="AF80" i="1"/>
  <c r="AG79" i="1"/>
  <c r="AC79" i="1"/>
  <c r="AD78" i="1"/>
  <c r="AE77" i="1"/>
  <c r="AF76" i="1"/>
  <c r="AG75" i="1"/>
  <c r="AC75" i="1"/>
  <c r="AD74" i="1"/>
  <c r="AE73" i="1"/>
  <c r="AF72" i="1"/>
  <c r="AG71" i="1"/>
  <c r="AC71" i="1"/>
  <c r="AD70" i="1"/>
  <c r="AE69" i="1"/>
  <c r="AF68" i="1"/>
  <c r="AG67" i="1"/>
  <c r="AC67" i="1"/>
  <c r="AD66" i="1"/>
  <c r="AE65" i="1"/>
  <c r="AF64" i="1"/>
  <c r="AG63" i="1"/>
  <c r="AC63" i="1"/>
  <c r="AD62" i="1"/>
  <c r="AE61" i="1"/>
  <c r="AF60" i="1"/>
  <c r="AG59" i="1"/>
  <c r="AC59" i="1"/>
  <c r="AD58" i="1"/>
  <c r="AE57" i="1"/>
  <c r="AF56" i="1"/>
  <c r="AG55" i="1"/>
  <c r="AC55" i="1"/>
  <c r="AD54" i="1"/>
  <c r="AE53" i="1"/>
  <c r="AF52" i="1"/>
  <c r="AG51" i="1"/>
  <c r="AC51" i="1"/>
  <c r="AD50" i="1"/>
  <c r="AE49" i="1"/>
  <c r="AF48" i="1"/>
  <c r="AG47" i="1"/>
  <c r="AC47" i="1"/>
  <c r="AD46" i="1"/>
  <c r="AE45" i="1"/>
  <c r="AF44" i="1"/>
  <c r="AG43" i="1"/>
  <c r="AC43" i="1"/>
  <c r="AD42" i="1"/>
  <c r="AE41" i="1"/>
  <c r="AF40" i="1"/>
  <c r="AG39" i="1"/>
  <c r="BF161" i="1"/>
  <c r="BC135" i="1"/>
  <c r="BE113" i="1"/>
  <c r="BD97" i="1"/>
  <c r="BE84" i="1"/>
  <c r="BE75" i="1"/>
  <c r="BC69" i="1"/>
  <c r="BF62" i="1"/>
  <c r="BD56" i="1"/>
  <c r="BB50" i="1"/>
  <c r="BF43" i="1"/>
  <c r="BE39" i="1"/>
  <c r="BD35" i="1"/>
  <c r="BB31" i="1"/>
  <c r="BF26" i="1"/>
  <c r="BE22" i="1"/>
  <c r="BC18" i="1"/>
  <c r="BB14" i="1"/>
  <c r="BF9" i="1"/>
  <c r="BD5" i="1"/>
  <c r="BD154" i="1"/>
  <c r="BD81" i="1"/>
  <c r="BF54" i="1"/>
  <c r="BC34" i="1"/>
  <c r="BC17" i="1"/>
  <c r="AF180" i="1"/>
  <c r="AF178" i="1"/>
  <c r="AE176" i="1"/>
  <c r="AD173" i="1"/>
  <c r="AD171" i="1"/>
  <c r="AC169" i="1"/>
  <c r="AG166" i="1"/>
  <c r="AG164" i="1"/>
  <c r="AF162" i="1"/>
  <c r="AE160" i="1"/>
  <c r="AE158" i="1"/>
  <c r="AD155" i="1"/>
  <c r="AC153" i="1"/>
  <c r="AC151" i="1"/>
  <c r="AG148" i="1"/>
  <c r="AF146" i="1"/>
  <c r="AF144" i="1"/>
  <c r="AE142" i="1"/>
  <c r="AD140" i="1"/>
  <c r="AD138" i="1"/>
  <c r="AC136" i="1"/>
  <c r="AG133" i="1"/>
  <c r="AG131" i="1"/>
  <c r="AF129" i="1"/>
  <c r="AE127" i="1"/>
  <c r="AE125" i="1"/>
  <c r="AD123" i="1"/>
  <c r="AC121" i="1"/>
  <c r="AC119" i="1"/>
  <c r="AG116" i="1"/>
  <c r="AF114" i="1"/>
  <c r="AF111" i="1"/>
  <c r="AE108" i="1"/>
  <c r="AG105" i="1"/>
  <c r="AD104" i="1"/>
  <c r="AF102" i="1"/>
  <c r="AC101" i="1"/>
  <c r="AE99" i="1"/>
  <c r="AG97" i="1"/>
  <c r="AD96" i="1"/>
  <c r="AF94" i="1"/>
  <c r="AC93" i="1"/>
  <c r="AE91" i="1"/>
  <c r="AG89" i="1"/>
  <c r="AD88" i="1"/>
  <c r="AF86" i="1"/>
  <c r="AC85" i="1"/>
  <c r="AE83" i="1"/>
  <c r="AG81" i="1"/>
  <c r="AD80" i="1"/>
  <c r="AF78" i="1"/>
  <c r="AC77" i="1"/>
  <c r="AE75" i="1"/>
  <c r="AG73" i="1"/>
  <c r="AD72" i="1"/>
  <c r="AF70" i="1"/>
  <c r="AC69" i="1"/>
  <c r="AE67" i="1"/>
  <c r="AG65" i="1"/>
  <c r="AD64" i="1"/>
  <c r="AF62" i="1"/>
  <c r="AC61" i="1"/>
  <c r="AE59" i="1"/>
  <c r="AG57" i="1"/>
  <c r="AD56" i="1"/>
  <c r="AF54" i="1"/>
  <c r="AC53" i="1"/>
  <c r="AE51" i="1"/>
  <c r="AG49" i="1"/>
  <c r="AD48" i="1"/>
  <c r="AF46" i="1"/>
  <c r="AC45" i="1"/>
  <c r="AE43" i="1"/>
  <c r="AG41" i="1"/>
  <c r="AD40" i="1"/>
  <c r="AG38" i="1"/>
  <c r="AG37" i="1"/>
  <c r="AF36" i="1"/>
  <c r="AF35" i="1"/>
  <c r="AF34" i="1"/>
  <c r="AE33" i="1"/>
  <c r="AE32" i="1"/>
  <c r="AE31" i="1"/>
  <c r="AD30" i="1"/>
  <c r="AD29" i="1"/>
  <c r="AD28" i="1"/>
  <c r="AC27" i="1"/>
  <c r="AC26" i="1"/>
  <c r="AC25" i="1"/>
  <c r="AG23" i="1"/>
  <c r="AG22" i="1"/>
  <c r="AG21" i="1"/>
  <c r="AF20" i="1"/>
  <c r="AF19" i="1"/>
  <c r="AF18" i="1"/>
  <c r="AE17" i="1"/>
  <c r="AE16" i="1"/>
  <c r="AE15" i="1"/>
  <c r="AD14" i="1"/>
  <c r="AD13" i="1"/>
  <c r="AD12" i="1"/>
  <c r="AC11" i="1"/>
  <c r="AC10" i="1"/>
  <c r="AC9" i="1"/>
  <c r="AG7" i="1"/>
  <c r="AG6" i="1"/>
  <c r="AG5" i="1"/>
  <c r="AF4" i="1"/>
  <c r="AF181" i="1"/>
  <c r="BF128" i="1"/>
  <c r="BB74" i="1"/>
  <c r="BD48" i="1"/>
  <c r="BB30" i="1"/>
  <c r="BB13" i="1"/>
  <c r="BB108" i="1"/>
  <c r="BE67" i="1"/>
  <c r="BF42" i="1"/>
  <c r="BF25" i="1"/>
  <c r="BE8" i="1"/>
  <c r="BC94" i="1"/>
  <c r="BC61" i="1"/>
  <c r="BE38" i="1"/>
  <c r="BD21" i="1"/>
  <c r="BD4" i="1"/>
  <c r="AG178" i="1"/>
  <c r="AF176" i="1"/>
  <c r="AF173" i="1"/>
  <c r="AE171" i="1"/>
  <c r="AD169" i="1"/>
  <c r="AD167" i="1"/>
  <c r="AC165" i="1"/>
  <c r="AG162" i="1"/>
  <c r="AG160" i="1"/>
  <c r="AF158" i="1"/>
  <c r="AE155" i="1"/>
  <c r="AE153" i="1"/>
  <c r="AD151" i="1"/>
  <c r="AC149" i="1"/>
  <c r="AC147" i="1"/>
  <c r="AG144" i="1"/>
  <c r="AF142" i="1"/>
  <c r="AF140" i="1"/>
  <c r="AE138" i="1"/>
  <c r="AD136" i="1"/>
  <c r="AD134" i="1"/>
  <c r="AC132" i="1"/>
  <c r="AG129" i="1"/>
  <c r="AG127" i="1"/>
  <c r="AF125" i="1"/>
  <c r="AE123" i="1"/>
  <c r="AE121" i="1"/>
  <c r="AD119" i="1"/>
  <c r="AC117" i="1"/>
  <c r="AC115" i="1"/>
  <c r="AG111" i="1"/>
  <c r="AF108" i="1"/>
  <c r="AC106" i="1"/>
  <c r="AE104" i="1"/>
  <c r="AG102" i="1"/>
  <c r="AD101" i="1"/>
  <c r="AF99" i="1"/>
  <c r="AC98" i="1"/>
  <c r="AE96" i="1"/>
  <c r="AG94" i="1"/>
  <c r="AD93" i="1"/>
  <c r="AF91" i="1"/>
  <c r="AC90" i="1"/>
  <c r="AE88" i="1"/>
  <c r="AG86" i="1"/>
  <c r="AD85" i="1"/>
  <c r="AF83" i="1"/>
  <c r="AC82" i="1"/>
  <c r="AE80" i="1"/>
  <c r="AG78" i="1"/>
  <c r="AD77" i="1"/>
  <c r="AF75" i="1"/>
  <c r="AC74" i="1"/>
  <c r="AE72" i="1"/>
  <c r="AG70" i="1"/>
  <c r="AD69" i="1"/>
  <c r="AF67" i="1"/>
  <c r="AC66" i="1"/>
  <c r="AE64" i="1"/>
  <c r="AG62" i="1"/>
  <c r="AD61" i="1"/>
  <c r="AF59" i="1"/>
  <c r="AC58" i="1"/>
  <c r="AE56" i="1"/>
  <c r="AG54" i="1"/>
  <c r="AD53" i="1"/>
  <c r="AF51" i="1"/>
  <c r="AC50" i="1"/>
  <c r="AE48" i="1"/>
  <c r="AG46" i="1"/>
  <c r="AD45" i="1"/>
  <c r="AF43" i="1"/>
  <c r="AC42" i="1"/>
  <c r="AE40" i="1"/>
  <c r="AC39" i="1"/>
  <c r="AC38" i="1"/>
  <c r="AC37" i="1"/>
  <c r="AG35" i="1"/>
  <c r="AG34" i="1"/>
  <c r="AB181" i="1"/>
  <c r="AD5" i="1"/>
  <c r="AF6" i="1"/>
  <c r="AD8" i="1"/>
  <c r="AE9" i="1"/>
  <c r="AG10" i="1"/>
  <c r="AE12" i="1"/>
  <c r="AG13" i="1"/>
  <c r="AC15" i="1"/>
  <c r="AF16" i="1"/>
  <c r="AC18" i="1"/>
  <c r="AE19" i="1"/>
  <c r="AC21" i="1"/>
  <c r="AD22" i="1"/>
  <c r="AF23" i="1"/>
  <c r="AD25" i="1"/>
  <c r="AF26" i="1"/>
  <c r="AG27" i="1"/>
  <c r="AE29" i="1"/>
  <c r="AG30" i="1"/>
  <c r="AD32" i="1"/>
  <c r="AG33" i="1"/>
  <c r="AE35" i="1"/>
  <c r="AE37" i="1"/>
  <c r="AF39" i="1"/>
  <c r="AG42" i="1"/>
  <c r="AC46" i="1"/>
  <c r="AD49" i="1"/>
  <c r="AE52" i="1"/>
  <c r="AF55" i="1"/>
  <c r="AG58" i="1"/>
  <c r="AC62" i="1"/>
  <c r="AD65" i="1"/>
  <c r="AE68" i="1"/>
  <c r="AF71" i="1"/>
  <c r="AG74" i="1"/>
  <c r="AC78" i="1"/>
  <c r="AD81" i="1"/>
  <c r="AE84" i="1"/>
  <c r="AF87" i="1"/>
  <c r="AG90" i="1"/>
  <c r="AC94" i="1"/>
  <c r="AD97" i="1"/>
  <c r="AE100" i="1"/>
  <c r="AF103" i="1"/>
  <c r="AG106" i="1"/>
  <c r="AG113" i="1"/>
  <c r="AD118" i="1"/>
  <c r="AE122" i="1"/>
  <c r="AF126" i="1"/>
  <c r="AC131" i="1"/>
  <c r="AD135" i="1"/>
  <c r="AE139" i="1"/>
  <c r="AG143" i="1"/>
  <c r="AC148" i="1"/>
  <c r="AD152" i="1"/>
  <c r="AF157" i="1"/>
  <c r="AG161" i="1"/>
  <c r="AC166" i="1"/>
  <c r="AE170" i="1"/>
  <c r="AF174" i="1"/>
  <c r="AG179" i="1"/>
  <c r="X181" i="1"/>
  <c r="AD4" i="1"/>
  <c r="AE5" i="1"/>
  <c r="AC7" i="1"/>
  <c r="AE8" i="1"/>
  <c r="AG9" i="1"/>
  <c r="AE11" i="1"/>
  <c r="AF12" i="1"/>
  <c r="AC14" i="1"/>
  <c r="AF15" i="1"/>
  <c r="AC17" i="1"/>
  <c r="AD18" i="1"/>
  <c r="AG19" i="1"/>
  <c r="AD21" i="1"/>
  <c r="AF22" i="1"/>
  <c r="AD24" i="1"/>
  <c r="AE25" i="1"/>
  <c r="AG26" i="1"/>
  <c r="AE28" i="1"/>
  <c r="AG29" i="1"/>
  <c r="AC31" i="1"/>
  <c r="AF32" i="1"/>
  <c r="AC34" i="1"/>
  <c r="AD36" i="1"/>
  <c r="AD38" i="1"/>
  <c r="AC41" i="1"/>
  <c r="AD44" i="1"/>
  <c r="AE47" i="1"/>
  <c r="AF50" i="1"/>
  <c r="AG53" i="1"/>
  <c r="AC57" i="1"/>
  <c r="AD60" i="1"/>
  <c r="AE63" i="1"/>
  <c r="AF66" i="1"/>
  <c r="AG69" i="1"/>
  <c r="AC73" i="1"/>
  <c r="AD76" i="1"/>
  <c r="AE79" i="1"/>
  <c r="AF82" i="1"/>
  <c r="AG85" i="1"/>
  <c r="AC89" i="1"/>
  <c r="AD92" i="1"/>
  <c r="AE95" i="1"/>
  <c r="AF98" i="1"/>
  <c r="AG101" i="1"/>
  <c r="AC105" i="1"/>
  <c r="AE109" i="1"/>
  <c r="AG115" i="1"/>
  <c r="AC120" i="1"/>
  <c r="AD124" i="1"/>
  <c r="AF128" i="1"/>
  <c r="AG132" i="1"/>
  <c r="AC137" i="1"/>
  <c r="AE141" i="1"/>
  <c r="AF145" i="1"/>
  <c r="AG149" i="1"/>
  <c r="AD154" i="1"/>
  <c r="AE159" i="1"/>
  <c r="AF163" i="1"/>
  <c r="AC168" i="1"/>
  <c r="AD172" i="1"/>
  <c r="AE177" i="1"/>
  <c r="AY181" i="1"/>
  <c r="AC181" i="1"/>
  <c r="AE4" i="1"/>
  <c r="AC6" i="1"/>
  <c r="AE7" i="1"/>
  <c r="AF8" i="1"/>
  <c r="AD10" i="1"/>
  <c r="AF11" i="1"/>
  <c r="AC13" i="1"/>
  <c r="AF14" i="1"/>
  <c r="AG15" i="1"/>
  <c r="AD17" i="1"/>
  <c r="AG18" i="1"/>
  <c r="AD20" i="1"/>
  <c r="AE21" i="1"/>
  <c r="AC23" i="1"/>
  <c r="AE24" i="1"/>
  <c r="AG25" i="1"/>
  <c r="AE27" i="1"/>
  <c r="AF28" i="1"/>
  <c r="AC30" i="1"/>
  <c r="AF31" i="1"/>
  <c r="AC33" i="1"/>
  <c r="AD34" i="1"/>
  <c r="AE36" i="1"/>
  <c r="AF38" i="1"/>
  <c r="AD41" i="1"/>
  <c r="AE44" i="1"/>
  <c r="AF47" i="1"/>
  <c r="AG50" i="1"/>
  <c r="AC54" i="1"/>
  <c r="AD57" i="1"/>
  <c r="AE60" i="1"/>
  <c r="AF63" i="1"/>
  <c r="AG66" i="1"/>
  <c r="AC70" i="1"/>
  <c r="AD73" i="1"/>
  <c r="AE76" i="1"/>
  <c r="AF79" i="1"/>
  <c r="AG82" i="1"/>
  <c r="AC86" i="1"/>
  <c r="AD89" i="1"/>
  <c r="AE92" i="1"/>
  <c r="AF95" i="1"/>
  <c r="AG98" i="1"/>
  <c r="AC102" i="1"/>
  <c r="AD105" i="1"/>
  <c r="AG109" i="1"/>
  <c r="AC116" i="1"/>
  <c r="AD120" i="1"/>
  <c r="AF124" i="1"/>
  <c r="AG128" i="1"/>
  <c r="AC133" i="1"/>
  <c r="AE137" i="1"/>
  <c r="AF141" i="1"/>
  <c r="AG145" i="1"/>
  <c r="AD150" i="1"/>
  <c r="AE154" i="1"/>
  <c r="AF159" i="1"/>
  <c r="AC164" i="1"/>
  <c r="AD168" i="1"/>
  <c r="AE172" i="1"/>
  <c r="AG177" i="1"/>
  <c r="AE181" i="1"/>
  <c r="AC5" i="1"/>
  <c r="AD6" i="1"/>
  <c r="AF7" i="1"/>
  <c r="AD9" i="1"/>
  <c r="AF10" i="1"/>
  <c r="AG11" i="1"/>
  <c r="AE13" i="1"/>
  <c r="AG14" i="1"/>
  <c r="AD16" i="1"/>
  <c r="AG17" i="1"/>
  <c r="AC19" i="1"/>
  <c r="AE20" i="1"/>
  <c r="AC22" i="1"/>
  <c r="AE23" i="1"/>
  <c r="AF24" i="1"/>
  <c r="AD26" i="1"/>
  <c r="AF27" i="1"/>
  <c r="AC29" i="1"/>
  <c r="AF30" i="1"/>
  <c r="AG31" i="1"/>
  <c r="AD33" i="1"/>
  <c r="AC35" i="1"/>
  <c r="AD37" i="1"/>
  <c r="AE39" i="1"/>
  <c r="AF42" i="1"/>
  <c r="AG45" i="1"/>
  <c r="AC49" i="1"/>
  <c r="AD52" i="1"/>
  <c r="AE55" i="1"/>
  <c r="AF58" i="1"/>
  <c r="AG61" i="1"/>
  <c r="AC65" i="1"/>
  <c r="AD68" i="1"/>
  <c r="AE71" i="1"/>
  <c r="AF74" i="1"/>
  <c r="AG77" i="1"/>
  <c r="AC81" i="1"/>
  <c r="AD84" i="1"/>
  <c r="AE87" i="1"/>
  <c r="AF90" i="1"/>
  <c r="AG93" i="1"/>
  <c r="AC97" i="1"/>
  <c r="AD100" i="1"/>
  <c r="AE103" i="1"/>
  <c r="AF106" i="1"/>
  <c r="AF113" i="1"/>
  <c r="AG117" i="1"/>
  <c r="AD122" i="1"/>
  <c r="AE126" i="1"/>
  <c r="AF130" i="1"/>
  <c r="AC135" i="1"/>
  <c r="AD139" i="1"/>
  <c r="AE143" i="1"/>
  <c r="AG147" i="1"/>
  <c r="AC152" i="1"/>
  <c r="AD157" i="1"/>
  <c r="AF161" i="1"/>
  <c r="AG165" i="1"/>
  <c r="AC170" i="1"/>
  <c r="AE174" i="1"/>
  <c r="AF179" i="1"/>
  <c r="AZ181" i="1"/>
  <c r="AW181" i="1"/>
  <c r="BA181" i="1"/>
  <c r="AX181" i="1"/>
  <c r="BJ181" i="1"/>
  <c r="BH181" i="1"/>
  <c r="BB181" i="1" l="1"/>
  <c r="BD181" i="1"/>
  <c r="AD181" i="1"/>
  <c r="BE181" i="1"/>
  <c r="AG181" i="1"/>
  <c r="BC181" i="1"/>
  <c r="C3" i="3"/>
  <c r="C8" i="3"/>
  <c r="C7" i="3"/>
  <c r="C6" i="3"/>
  <c r="AS180" i="1"/>
  <c r="AS179" i="1"/>
  <c r="AS178" i="1"/>
  <c r="AS177" i="1"/>
  <c r="AS176" i="1"/>
  <c r="AS175" i="1"/>
  <c r="AS174" i="1"/>
  <c r="AS173" i="1"/>
  <c r="AS172" i="1"/>
  <c r="AS171" i="1"/>
  <c r="AS170" i="1"/>
  <c r="AS169" i="1"/>
  <c r="AS168" i="1"/>
  <c r="AS167" i="1"/>
  <c r="AS166" i="1"/>
  <c r="AS165" i="1"/>
  <c r="AS164" i="1"/>
  <c r="AS163" i="1"/>
  <c r="AS162" i="1"/>
  <c r="AS161" i="1"/>
  <c r="AS160" i="1"/>
  <c r="AS159" i="1"/>
  <c r="AS158" i="1"/>
  <c r="AS157" i="1"/>
  <c r="AS156" i="1"/>
  <c r="AS155" i="1"/>
  <c r="AS154" i="1"/>
  <c r="AS153" i="1"/>
  <c r="AS152" i="1"/>
  <c r="AS151" i="1"/>
  <c r="AS150" i="1"/>
  <c r="AS149" i="1"/>
  <c r="AS148" i="1"/>
  <c r="AS147" i="1"/>
  <c r="AS146" i="1"/>
  <c r="AS145" i="1"/>
  <c r="AS144" i="1"/>
  <c r="AS143" i="1"/>
  <c r="AS142" i="1"/>
  <c r="AS141" i="1"/>
  <c r="AS140" i="1"/>
  <c r="AS139" i="1"/>
  <c r="AS138" i="1"/>
  <c r="AS137" i="1"/>
  <c r="AS136" i="1"/>
  <c r="AS135" i="1"/>
  <c r="AS134" i="1"/>
  <c r="AS133" i="1"/>
  <c r="AS132" i="1"/>
  <c r="AS131" i="1"/>
  <c r="AS130" i="1"/>
  <c r="AS129" i="1"/>
  <c r="AS128" i="1"/>
  <c r="AS127" i="1"/>
  <c r="AS126" i="1"/>
  <c r="AS125" i="1"/>
  <c r="AS124" i="1"/>
  <c r="AS123" i="1"/>
  <c r="AS122" i="1"/>
  <c r="AS121" i="1"/>
  <c r="AS120" i="1"/>
  <c r="AS119" i="1"/>
  <c r="AS118" i="1"/>
  <c r="AS117" i="1"/>
  <c r="AS116" i="1"/>
  <c r="AS115" i="1"/>
  <c r="AS114" i="1"/>
  <c r="AS113" i="1"/>
  <c r="AS112" i="1"/>
  <c r="AS111" i="1"/>
  <c r="AS110" i="1"/>
  <c r="AS109" i="1"/>
  <c r="AS108" i="1"/>
  <c r="AS107" i="1"/>
  <c r="AS106" i="1"/>
  <c r="AS105" i="1"/>
  <c r="AS104" i="1"/>
  <c r="AS103" i="1"/>
  <c r="AS102" i="1"/>
  <c r="AS101" i="1"/>
  <c r="AS100" i="1"/>
  <c r="AS99" i="1"/>
  <c r="AS98" i="1"/>
  <c r="AS97" i="1"/>
  <c r="AS96" i="1"/>
  <c r="AS95" i="1"/>
  <c r="AS94" i="1"/>
  <c r="AS93" i="1"/>
  <c r="AS92" i="1"/>
  <c r="AS91" i="1"/>
  <c r="AS90" i="1"/>
  <c r="AS89" i="1"/>
  <c r="AS88" i="1"/>
  <c r="AS87" i="1"/>
  <c r="AS86" i="1"/>
  <c r="AS85" i="1"/>
  <c r="AS84" i="1"/>
  <c r="AS83" i="1"/>
  <c r="AS82" i="1"/>
  <c r="AS81" i="1"/>
  <c r="AS80" i="1"/>
  <c r="AS79" i="1"/>
  <c r="AS78" i="1"/>
  <c r="AS77" i="1"/>
  <c r="AS76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S6" i="1"/>
  <c r="AS5" i="1"/>
  <c r="AS4" i="1"/>
  <c r="AS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7" i="1"/>
  <c r="U106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5" i="1"/>
  <c r="U24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AV180" i="1"/>
  <c r="AU180" i="1"/>
  <c r="AV179" i="1"/>
  <c r="AU179" i="1"/>
  <c r="AV178" i="1"/>
  <c r="AU178" i="1"/>
  <c r="AV177" i="1"/>
  <c r="AU177" i="1"/>
  <c r="AV176" i="1"/>
  <c r="AU176" i="1"/>
  <c r="AV174" i="1"/>
  <c r="AU174" i="1"/>
  <c r="AV173" i="1"/>
  <c r="AU173" i="1"/>
  <c r="AV172" i="1"/>
  <c r="AU172" i="1"/>
  <c r="AV171" i="1"/>
  <c r="AU171" i="1"/>
  <c r="AV170" i="1"/>
  <c r="AU170" i="1"/>
  <c r="AV169" i="1"/>
  <c r="AU169" i="1"/>
  <c r="AV168" i="1"/>
  <c r="AU168" i="1"/>
  <c r="AV167" i="1"/>
  <c r="AU167" i="1"/>
  <c r="AV166" i="1"/>
  <c r="AU166" i="1"/>
  <c r="AV165" i="1"/>
  <c r="AU165" i="1"/>
  <c r="AV164" i="1"/>
  <c r="AU164" i="1"/>
  <c r="AV163" i="1"/>
  <c r="AU163" i="1"/>
  <c r="AV162" i="1"/>
  <c r="AU162" i="1"/>
  <c r="AV161" i="1"/>
  <c r="AU161" i="1"/>
  <c r="AV160" i="1"/>
  <c r="AU160" i="1"/>
  <c r="AV159" i="1"/>
  <c r="AU159" i="1"/>
  <c r="AV158" i="1"/>
  <c r="AU158" i="1"/>
  <c r="AV157" i="1"/>
  <c r="AU157" i="1"/>
  <c r="AV155" i="1"/>
  <c r="AU155" i="1"/>
  <c r="AV154" i="1"/>
  <c r="AU154" i="1"/>
  <c r="AV153" i="1"/>
  <c r="AU153" i="1"/>
  <c r="AV152" i="1"/>
  <c r="AU152" i="1"/>
  <c r="AV151" i="1"/>
  <c r="AU151" i="1"/>
  <c r="AV150" i="1"/>
  <c r="AU150" i="1"/>
  <c r="AV149" i="1"/>
  <c r="AU149" i="1"/>
  <c r="AV148" i="1"/>
  <c r="AU148" i="1"/>
  <c r="AV147" i="1"/>
  <c r="AU147" i="1"/>
  <c r="AV146" i="1"/>
  <c r="AU146" i="1"/>
  <c r="AV145" i="1"/>
  <c r="AU145" i="1"/>
  <c r="AV144" i="1"/>
  <c r="AU144" i="1"/>
  <c r="AV143" i="1"/>
  <c r="AU143" i="1"/>
  <c r="AV142" i="1"/>
  <c r="AU142" i="1"/>
  <c r="AV141" i="1"/>
  <c r="AU141" i="1"/>
  <c r="AV140" i="1"/>
  <c r="AU140" i="1"/>
  <c r="AV139" i="1"/>
  <c r="AU139" i="1"/>
  <c r="AV138" i="1"/>
  <c r="AU138" i="1"/>
  <c r="AV137" i="1"/>
  <c r="AU137" i="1"/>
  <c r="AV136" i="1"/>
  <c r="AU136" i="1"/>
  <c r="AV135" i="1"/>
  <c r="AU135" i="1"/>
  <c r="AV134" i="1"/>
  <c r="AU134" i="1"/>
  <c r="AV133" i="1"/>
  <c r="AU133" i="1"/>
  <c r="AV132" i="1"/>
  <c r="AU132" i="1"/>
  <c r="AV131" i="1"/>
  <c r="AU131" i="1"/>
  <c r="AV130" i="1"/>
  <c r="AU130" i="1"/>
  <c r="AV129" i="1"/>
  <c r="AU129" i="1"/>
  <c r="AV128" i="1"/>
  <c r="AU128" i="1"/>
  <c r="AV127" i="1"/>
  <c r="AU127" i="1"/>
  <c r="AV126" i="1"/>
  <c r="AU126" i="1"/>
  <c r="AV125" i="1"/>
  <c r="AU125" i="1"/>
  <c r="AV124" i="1"/>
  <c r="AU124" i="1"/>
  <c r="AV123" i="1"/>
  <c r="AU123" i="1"/>
  <c r="AV122" i="1"/>
  <c r="AU122" i="1"/>
  <c r="AV121" i="1"/>
  <c r="AU121" i="1"/>
  <c r="AV120" i="1"/>
  <c r="AU120" i="1"/>
  <c r="AV119" i="1"/>
  <c r="AU119" i="1"/>
  <c r="AV118" i="1"/>
  <c r="AU118" i="1"/>
  <c r="AV117" i="1"/>
  <c r="AU117" i="1"/>
  <c r="AV116" i="1"/>
  <c r="AU116" i="1"/>
  <c r="AV115" i="1"/>
  <c r="AU115" i="1"/>
  <c r="AV114" i="1"/>
  <c r="AU114" i="1"/>
  <c r="AV113" i="1"/>
  <c r="AU113" i="1"/>
  <c r="AV111" i="1"/>
  <c r="AU111" i="1"/>
  <c r="AV109" i="1"/>
  <c r="AU109" i="1"/>
  <c r="AV108" i="1"/>
  <c r="AU108" i="1"/>
  <c r="AV106" i="1"/>
  <c r="AU106" i="1"/>
  <c r="AV105" i="1"/>
  <c r="AU105" i="1"/>
  <c r="AV104" i="1"/>
  <c r="AU104" i="1"/>
  <c r="AV103" i="1"/>
  <c r="AU103" i="1"/>
  <c r="AV102" i="1"/>
  <c r="AU102" i="1"/>
  <c r="AV101" i="1"/>
  <c r="AU101" i="1"/>
  <c r="AV100" i="1"/>
  <c r="AU100" i="1"/>
  <c r="AV99" i="1"/>
  <c r="AU99" i="1"/>
  <c r="AV98" i="1"/>
  <c r="AU98" i="1"/>
  <c r="AV97" i="1"/>
  <c r="AU97" i="1"/>
  <c r="AV96" i="1"/>
  <c r="AU96" i="1"/>
  <c r="AV95" i="1"/>
  <c r="AU95" i="1"/>
  <c r="AV94" i="1"/>
  <c r="AU94" i="1"/>
  <c r="AV93" i="1"/>
  <c r="AU93" i="1"/>
  <c r="AV92" i="1"/>
  <c r="AU92" i="1"/>
  <c r="AV91" i="1"/>
  <c r="AU91" i="1"/>
  <c r="AV90" i="1"/>
  <c r="AU90" i="1"/>
  <c r="AV89" i="1"/>
  <c r="AU89" i="1"/>
  <c r="AV88" i="1"/>
  <c r="AU88" i="1"/>
  <c r="AV87" i="1"/>
  <c r="AU87" i="1"/>
  <c r="AV86" i="1"/>
  <c r="AU86" i="1"/>
  <c r="AV85" i="1"/>
  <c r="AU85" i="1"/>
  <c r="AV84" i="1"/>
  <c r="AU84" i="1"/>
  <c r="AV83" i="1"/>
  <c r="AU83" i="1"/>
  <c r="AV82" i="1"/>
  <c r="AU82" i="1"/>
  <c r="AV81" i="1"/>
  <c r="AU81" i="1"/>
  <c r="AV80" i="1"/>
  <c r="AU80" i="1"/>
  <c r="AV79" i="1"/>
  <c r="AU79" i="1"/>
  <c r="AV78" i="1"/>
  <c r="AU78" i="1"/>
  <c r="AV77" i="1"/>
  <c r="AU77" i="1"/>
  <c r="AV76" i="1"/>
  <c r="AU76" i="1"/>
  <c r="AV75" i="1"/>
  <c r="AV74" i="1"/>
  <c r="AU74" i="1"/>
  <c r="AV73" i="1"/>
  <c r="AU73" i="1"/>
  <c r="AV72" i="1"/>
  <c r="AU72" i="1"/>
  <c r="AV71" i="1"/>
  <c r="AU71" i="1"/>
  <c r="AV70" i="1"/>
  <c r="AU70" i="1"/>
  <c r="AV69" i="1"/>
  <c r="AU69" i="1"/>
  <c r="AV68" i="1"/>
  <c r="AU68" i="1"/>
  <c r="AV67" i="1"/>
  <c r="AU67" i="1"/>
  <c r="AV66" i="1"/>
  <c r="AU66" i="1"/>
  <c r="AV65" i="1"/>
  <c r="AU65" i="1"/>
  <c r="AV64" i="1"/>
  <c r="AU64" i="1"/>
  <c r="AV63" i="1"/>
  <c r="AU63" i="1"/>
  <c r="AV62" i="1"/>
  <c r="AU62" i="1"/>
  <c r="AV61" i="1"/>
  <c r="AU61" i="1"/>
  <c r="AV60" i="1"/>
  <c r="AU60" i="1"/>
  <c r="AV59" i="1"/>
  <c r="AU59" i="1"/>
  <c r="AV58" i="1"/>
  <c r="AU58" i="1"/>
  <c r="AV57" i="1"/>
  <c r="AU57" i="1"/>
  <c r="AV56" i="1"/>
  <c r="AU56" i="1"/>
  <c r="AV55" i="1"/>
  <c r="AU55" i="1"/>
  <c r="AV54" i="1"/>
  <c r="AU54" i="1"/>
  <c r="AV53" i="1"/>
  <c r="AU53" i="1"/>
  <c r="AV52" i="1"/>
  <c r="AU52" i="1"/>
  <c r="AV51" i="1"/>
  <c r="AU51" i="1"/>
  <c r="AV50" i="1"/>
  <c r="AU50" i="1"/>
  <c r="AV49" i="1"/>
  <c r="AU49" i="1"/>
  <c r="AV48" i="1"/>
  <c r="AU48" i="1"/>
  <c r="AV47" i="1"/>
  <c r="AU47" i="1"/>
  <c r="AV46" i="1"/>
  <c r="AU46" i="1"/>
  <c r="AV45" i="1"/>
  <c r="AU45" i="1"/>
  <c r="AV44" i="1"/>
  <c r="AU44" i="1"/>
  <c r="AV43" i="1"/>
  <c r="AU43" i="1"/>
  <c r="AV42" i="1"/>
  <c r="AU42" i="1"/>
  <c r="AV41" i="1"/>
  <c r="AU41" i="1"/>
  <c r="AV40" i="1"/>
  <c r="AU40" i="1"/>
  <c r="AV39" i="1"/>
  <c r="AU39" i="1"/>
  <c r="AV38" i="1"/>
  <c r="AU38" i="1"/>
  <c r="AV37" i="1"/>
  <c r="AU37" i="1"/>
  <c r="AV36" i="1"/>
  <c r="AU36" i="1"/>
  <c r="AV35" i="1"/>
  <c r="AU35" i="1"/>
  <c r="AV34" i="1"/>
  <c r="AU34" i="1"/>
  <c r="AV33" i="1"/>
  <c r="AU33" i="1"/>
  <c r="AV32" i="1"/>
  <c r="AU32" i="1"/>
  <c r="AV31" i="1"/>
  <c r="AU31" i="1"/>
  <c r="AV30" i="1"/>
  <c r="AU30" i="1"/>
  <c r="AV29" i="1"/>
  <c r="AU29" i="1"/>
  <c r="AV28" i="1"/>
  <c r="AU28" i="1"/>
  <c r="AV27" i="1"/>
  <c r="AU27" i="1"/>
  <c r="AV26" i="1"/>
  <c r="AU26" i="1"/>
  <c r="AV25" i="1"/>
  <c r="AU25" i="1"/>
  <c r="AV24" i="1"/>
  <c r="AU24" i="1"/>
  <c r="AV23" i="1"/>
  <c r="AU23" i="1"/>
  <c r="AV22" i="1"/>
  <c r="AU22" i="1"/>
  <c r="AV21" i="1"/>
  <c r="AU21" i="1"/>
  <c r="AV20" i="1"/>
  <c r="AU20" i="1"/>
  <c r="AV19" i="1"/>
  <c r="AU19" i="1"/>
  <c r="AV18" i="1"/>
  <c r="AU18" i="1"/>
  <c r="AV17" i="1"/>
  <c r="AU17" i="1"/>
  <c r="AV16" i="1"/>
  <c r="AU16" i="1"/>
  <c r="AV15" i="1"/>
  <c r="AU15" i="1"/>
  <c r="AV14" i="1"/>
  <c r="AU14" i="1"/>
  <c r="AV13" i="1"/>
  <c r="AU13" i="1"/>
  <c r="AV12" i="1"/>
  <c r="AU12" i="1"/>
  <c r="AV11" i="1"/>
  <c r="AU11" i="1"/>
  <c r="AV10" i="1"/>
  <c r="AU10" i="1"/>
  <c r="AV9" i="1"/>
  <c r="AU9" i="1"/>
  <c r="AV8" i="1"/>
  <c r="AU8" i="1"/>
  <c r="AV7" i="1"/>
  <c r="AU7" i="1"/>
  <c r="AV6" i="1"/>
  <c r="AU6" i="1"/>
  <c r="AV5" i="1"/>
  <c r="AU5" i="1"/>
  <c r="AV4" i="1"/>
  <c r="AU4" i="1"/>
  <c r="C5" i="3"/>
  <c r="C4" i="3"/>
  <c r="AU181" i="1" l="1"/>
  <c r="BN181" i="1"/>
  <c r="BO181" i="1"/>
  <c r="BR181" i="1"/>
  <c r="V181" i="1"/>
  <c r="W181" i="1"/>
  <c r="U181" i="1"/>
  <c r="BG181" i="1" s="1"/>
  <c r="BL181" i="1"/>
  <c r="BK181" i="1"/>
  <c r="BI181" i="1"/>
  <c r="BI40" i="1"/>
  <c r="BK171" i="1"/>
  <c r="BL180" i="1"/>
  <c r="BK180" i="1"/>
  <c r="BJ180" i="1"/>
  <c r="BL179" i="1"/>
  <c r="BK179" i="1"/>
  <c r="BL178" i="1"/>
  <c r="BK178" i="1"/>
  <c r="BL177" i="1"/>
  <c r="BJ177" i="1"/>
  <c r="BK176" i="1"/>
  <c r="BK174" i="1"/>
  <c r="BK173" i="1"/>
  <c r="BK172" i="1"/>
  <c r="BL171" i="1"/>
  <c r="BJ171" i="1"/>
  <c r="BL170" i="1"/>
  <c r="BK170" i="1"/>
  <c r="BL169" i="1"/>
  <c r="BK169" i="1"/>
  <c r="BK168" i="1"/>
  <c r="BK167" i="1"/>
  <c r="BL166" i="1"/>
  <c r="BL165" i="1"/>
  <c r="BK165" i="1"/>
  <c r="BL164" i="1"/>
  <c r="BK164" i="1"/>
  <c r="BL163" i="1"/>
  <c r="BK163" i="1"/>
  <c r="BJ163" i="1"/>
  <c r="BL162" i="1"/>
  <c r="BK162" i="1"/>
  <c r="BL161" i="1"/>
  <c r="BK161" i="1"/>
  <c r="BJ161" i="1"/>
  <c r="BL160" i="1"/>
  <c r="BK160" i="1"/>
  <c r="BL159" i="1"/>
  <c r="BK159" i="1"/>
  <c r="BL158" i="1"/>
  <c r="BK158" i="1"/>
  <c r="BJ158" i="1"/>
  <c r="BR171" i="1"/>
  <c r="BQ171" i="1"/>
  <c r="BP171" i="1"/>
  <c r="BR158" i="1"/>
  <c r="BQ158" i="1"/>
  <c r="BP158" i="1"/>
  <c r="BI60" i="1"/>
  <c r="BL13" i="1"/>
  <c r="BK157" i="1"/>
  <c r="BG157" i="1"/>
  <c r="BG156" i="1"/>
  <c r="BL155" i="1"/>
  <c r="BG155" i="1"/>
  <c r="BL154" i="1"/>
  <c r="BG154" i="1"/>
  <c r="BL153" i="1"/>
  <c r="BK153" i="1"/>
  <c r="BG153" i="1"/>
  <c r="BL152" i="1"/>
  <c r="BG152" i="1"/>
  <c r="BL151" i="1"/>
  <c r="BK151" i="1"/>
  <c r="BJ151" i="1"/>
  <c r="BG151" i="1"/>
  <c r="BR150" i="1"/>
  <c r="BQ150" i="1"/>
  <c r="BL150" i="1"/>
  <c r="BK150" i="1"/>
  <c r="BJ150" i="1"/>
  <c r="BG150" i="1"/>
  <c r="BL149" i="1"/>
  <c r="BK149" i="1"/>
  <c r="BG149" i="1"/>
  <c r="BQ148" i="1"/>
  <c r="BL148" i="1"/>
  <c r="BK148" i="1"/>
  <c r="BG148" i="1"/>
  <c r="BL147" i="1"/>
  <c r="BG147" i="1"/>
  <c r="BJ146" i="1"/>
  <c r="BG146" i="1"/>
  <c r="BL145" i="1"/>
  <c r="BG145" i="1"/>
  <c r="BL144" i="1"/>
  <c r="BK144" i="1"/>
  <c r="BG144" i="1"/>
  <c r="BK143" i="1"/>
  <c r="BG143" i="1"/>
  <c r="BL142" i="1"/>
  <c r="BG142" i="1"/>
  <c r="BL141" i="1"/>
  <c r="BK141" i="1"/>
  <c r="BG141" i="1"/>
  <c r="BL140" i="1"/>
  <c r="BK140" i="1"/>
  <c r="BJ140" i="1"/>
  <c r="BG140" i="1"/>
  <c r="BK139" i="1"/>
  <c r="BG139" i="1"/>
  <c r="BL138" i="1"/>
  <c r="BK138" i="1"/>
  <c r="BG138" i="1"/>
  <c r="BJ137" i="1"/>
  <c r="BG137" i="1"/>
  <c r="BL136" i="1"/>
  <c r="BK136" i="1"/>
  <c r="BG136" i="1"/>
  <c r="BL135" i="1"/>
  <c r="BK135" i="1"/>
  <c r="BG135" i="1"/>
  <c r="BL134" i="1"/>
  <c r="BK134" i="1"/>
  <c r="BG134" i="1"/>
  <c r="BL133" i="1"/>
  <c r="BK133" i="1"/>
  <c r="BG133" i="1"/>
  <c r="BL132" i="1"/>
  <c r="BK132" i="1"/>
  <c r="BG132" i="1"/>
  <c r="BL131" i="1"/>
  <c r="BK131" i="1"/>
  <c r="BJ131" i="1"/>
  <c r="BG131" i="1"/>
  <c r="BK130" i="1"/>
  <c r="BG130" i="1"/>
  <c r="BK129" i="1"/>
  <c r="BG129" i="1"/>
  <c r="BL128" i="1"/>
  <c r="BG128" i="1"/>
  <c r="BJ127" i="1"/>
  <c r="BG127" i="1"/>
  <c r="BK126" i="1"/>
  <c r="BG126" i="1"/>
  <c r="BL125" i="1"/>
  <c r="BK125" i="1"/>
  <c r="BJ125" i="1"/>
  <c r="BG125" i="1"/>
  <c r="BL124" i="1"/>
  <c r="BK124" i="1"/>
  <c r="BG124" i="1"/>
  <c r="BK123" i="1"/>
  <c r="BJ123" i="1"/>
  <c r="BG123" i="1"/>
  <c r="BL122" i="1"/>
  <c r="BG122" i="1"/>
  <c r="BL121" i="1"/>
  <c r="BK121" i="1"/>
  <c r="BJ121" i="1"/>
  <c r="BG121" i="1"/>
  <c r="BL120" i="1"/>
  <c r="BG120" i="1"/>
  <c r="BK119" i="1"/>
  <c r="BG119" i="1"/>
  <c r="BL118" i="1"/>
  <c r="BK118" i="1"/>
  <c r="BG118" i="1"/>
  <c r="BL117" i="1"/>
  <c r="BK117" i="1"/>
  <c r="BG117" i="1"/>
  <c r="BL116" i="1"/>
  <c r="BK116" i="1"/>
  <c r="BJ116" i="1"/>
  <c r="BG116" i="1"/>
  <c r="BL115" i="1"/>
  <c r="BK115" i="1"/>
  <c r="BJ115" i="1"/>
  <c r="BG115" i="1"/>
  <c r="BL114" i="1"/>
  <c r="BK114" i="1"/>
  <c r="BJ114" i="1"/>
  <c r="BG114" i="1"/>
  <c r="BK113" i="1"/>
  <c r="BG113" i="1"/>
  <c r="BG112" i="1"/>
  <c r="BJ111" i="1"/>
  <c r="BG111" i="1"/>
  <c r="BG110" i="1"/>
  <c r="BL109" i="1"/>
  <c r="BG109" i="1"/>
  <c r="BL108" i="1"/>
  <c r="BG108" i="1"/>
  <c r="BG107" i="1"/>
  <c r="BI106" i="1"/>
  <c r="BG106" i="1"/>
  <c r="BK105" i="1"/>
  <c r="BG105" i="1"/>
  <c r="BL104" i="1"/>
  <c r="BK104" i="1"/>
  <c r="BJ104" i="1"/>
  <c r="BI104" i="1"/>
  <c r="BG104" i="1"/>
  <c r="BL103" i="1"/>
  <c r="BG103" i="1"/>
  <c r="BL102" i="1"/>
  <c r="BK102" i="1"/>
  <c r="BG102" i="1"/>
  <c r="BL101" i="1"/>
  <c r="BG101" i="1"/>
  <c r="BJ100" i="1"/>
  <c r="BG100" i="1"/>
  <c r="BL99" i="1"/>
  <c r="BK99" i="1"/>
  <c r="BG99" i="1"/>
  <c r="BI98" i="1"/>
  <c r="BG98" i="1"/>
  <c r="BL97" i="1"/>
  <c r="BG97" i="1"/>
  <c r="BL96" i="1"/>
  <c r="BG96" i="1"/>
  <c r="BL95" i="1"/>
  <c r="BK95" i="1"/>
  <c r="BJ95" i="1"/>
  <c r="BI95" i="1"/>
  <c r="BG95" i="1"/>
  <c r="BK94" i="1"/>
  <c r="BG94" i="1"/>
  <c r="BL93" i="1"/>
  <c r="BG93" i="1"/>
  <c r="BL92" i="1"/>
  <c r="BK92" i="1"/>
  <c r="BG92" i="1"/>
  <c r="BK91" i="1"/>
  <c r="BJ91" i="1"/>
  <c r="BG91" i="1"/>
  <c r="BK90" i="1"/>
  <c r="BG90" i="1"/>
  <c r="BL89" i="1"/>
  <c r="BK89" i="1"/>
  <c r="BG89" i="1"/>
  <c r="BL88" i="1"/>
  <c r="BK88" i="1"/>
  <c r="BG88" i="1"/>
  <c r="BK87" i="1"/>
  <c r="BJ87" i="1"/>
  <c r="BG87" i="1"/>
  <c r="BK86" i="1"/>
  <c r="BG86" i="1"/>
  <c r="BL85" i="1"/>
  <c r="BK85" i="1"/>
  <c r="BJ85" i="1"/>
  <c r="BG85" i="1"/>
  <c r="BJ84" i="1"/>
  <c r="BG84" i="1"/>
  <c r="BL83" i="1"/>
  <c r="BK83" i="1"/>
  <c r="BJ83" i="1"/>
  <c r="BG83" i="1"/>
  <c r="BL82" i="1"/>
  <c r="BG82" i="1"/>
  <c r="BL81" i="1"/>
  <c r="BG81" i="1"/>
  <c r="BL80" i="1"/>
  <c r="BK80" i="1"/>
  <c r="BG80" i="1"/>
  <c r="BK79" i="1"/>
  <c r="BG79" i="1"/>
  <c r="BL78" i="1"/>
  <c r="BK78" i="1"/>
  <c r="BG78" i="1"/>
  <c r="BL77" i="1"/>
  <c r="BJ77" i="1"/>
  <c r="BG77" i="1"/>
  <c r="BK76" i="1"/>
  <c r="BG76" i="1"/>
  <c r="BL75" i="1"/>
  <c r="BK75" i="1"/>
  <c r="BJ75" i="1"/>
  <c r="BG75" i="1"/>
  <c r="BK74" i="1"/>
  <c r="BJ74" i="1"/>
  <c r="BG74" i="1"/>
  <c r="BK73" i="1"/>
  <c r="BJ73" i="1"/>
  <c r="BI73" i="1"/>
  <c r="BG73" i="1"/>
  <c r="BK72" i="1"/>
  <c r="BG72" i="1"/>
  <c r="BL71" i="1"/>
  <c r="BG71" i="1"/>
  <c r="BL70" i="1"/>
  <c r="BG70" i="1"/>
  <c r="BL69" i="1"/>
  <c r="BK69" i="1"/>
  <c r="BI69" i="1"/>
  <c r="BG69" i="1"/>
  <c r="BL68" i="1"/>
  <c r="BG68" i="1"/>
  <c r="BL67" i="1"/>
  <c r="BK67" i="1"/>
  <c r="BJ67" i="1"/>
  <c r="BI67" i="1"/>
  <c r="BG67" i="1"/>
  <c r="BK66" i="1"/>
  <c r="BG66" i="1"/>
  <c r="BL65" i="1"/>
  <c r="BG65" i="1"/>
  <c r="BL64" i="1"/>
  <c r="BK64" i="1"/>
  <c r="BG64" i="1"/>
  <c r="BL63" i="1"/>
  <c r="BK63" i="1"/>
  <c r="BG63" i="1"/>
  <c r="BI62" i="1"/>
  <c r="BG62" i="1"/>
  <c r="BL61" i="1"/>
  <c r="BK61" i="1"/>
  <c r="BI61" i="1"/>
  <c r="BG61" i="1"/>
  <c r="BL60" i="1"/>
  <c r="BK60" i="1"/>
  <c r="BG60" i="1"/>
  <c r="BK59" i="1"/>
  <c r="BG59" i="1"/>
  <c r="BL58" i="1"/>
  <c r="BG58" i="1"/>
  <c r="BK57" i="1"/>
  <c r="BG57" i="1"/>
  <c r="BL56" i="1"/>
  <c r="BJ56" i="1"/>
  <c r="BG56" i="1"/>
  <c r="BL55" i="1"/>
  <c r="BG55" i="1"/>
  <c r="BL54" i="1"/>
  <c r="BG54" i="1"/>
  <c r="BL53" i="1"/>
  <c r="BG53" i="1"/>
  <c r="BL52" i="1"/>
  <c r="BK52" i="1"/>
  <c r="BJ52" i="1"/>
  <c r="BG52" i="1"/>
  <c r="BL51" i="1"/>
  <c r="BK51" i="1"/>
  <c r="BG51" i="1"/>
  <c r="BL50" i="1"/>
  <c r="BK50" i="1"/>
  <c r="BJ50" i="1"/>
  <c r="BG50" i="1"/>
  <c r="BL49" i="1"/>
  <c r="BG49" i="1"/>
  <c r="BK48" i="1"/>
  <c r="BJ48" i="1"/>
  <c r="BG48" i="1"/>
  <c r="BJ47" i="1"/>
  <c r="BI47" i="1"/>
  <c r="BG47" i="1"/>
  <c r="BL46" i="1"/>
  <c r="BG46" i="1"/>
  <c r="BL45" i="1"/>
  <c r="BG45" i="1"/>
  <c r="BL44" i="1"/>
  <c r="BG44" i="1"/>
  <c r="BL43" i="1"/>
  <c r="BK43" i="1"/>
  <c r="BG43" i="1"/>
  <c r="BK42" i="1"/>
  <c r="BG42" i="1"/>
  <c r="BL41" i="1"/>
  <c r="BK41" i="1"/>
  <c r="BJ41" i="1"/>
  <c r="BI41" i="1"/>
  <c r="BG41" i="1"/>
  <c r="BL40" i="1"/>
  <c r="BK40" i="1"/>
  <c r="BJ40" i="1"/>
  <c r="BK39" i="1"/>
  <c r="BG39" i="1"/>
  <c r="BL38" i="1"/>
  <c r="BG38" i="1"/>
  <c r="BL37" i="1"/>
  <c r="BK37" i="1"/>
  <c r="BJ37" i="1"/>
  <c r="BG37" i="1"/>
  <c r="BL36" i="1"/>
  <c r="BK36" i="1"/>
  <c r="BG36" i="1"/>
  <c r="BL35" i="1"/>
  <c r="BK35" i="1"/>
  <c r="BJ35" i="1"/>
  <c r="BG35" i="1"/>
  <c r="BL34" i="1"/>
  <c r="BK34" i="1"/>
  <c r="BJ34" i="1"/>
  <c r="BG34" i="1"/>
  <c r="BL33" i="1"/>
  <c r="BK33" i="1"/>
  <c r="BJ33" i="1"/>
  <c r="BH33" i="1"/>
  <c r="BG33" i="1"/>
  <c r="BL32" i="1"/>
  <c r="BK32" i="1"/>
  <c r="BI32" i="1"/>
  <c r="BG32" i="1"/>
  <c r="BK31" i="1"/>
  <c r="BJ31" i="1"/>
  <c r="BG31" i="1"/>
  <c r="BL30" i="1"/>
  <c r="BK30" i="1"/>
  <c r="BJ30" i="1"/>
  <c r="BI30" i="1"/>
  <c r="BH30" i="1"/>
  <c r="BG30" i="1"/>
  <c r="BL29" i="1"/>
  <c r="BK29" i="1"/>
  <c r="BJ29" i="1"/>
  <c r="BG29" i="1"/>
  <c r="BL28" i="1"/>
  <c r="BK28" i="1"/>
  <c r="BG28" i="1"/>
  <c r="BL27" i="1"/>
  <c r="BK27" i="1"/>
  <c r="BG27" i="1"/>
  <c r="BL26" i="1"/>
  <c r="BK26" i="1"/>
  <c r="BJ26" i="1"/>
  <c r="BG26" i="1"/>
  <c r="BL25" i="1"/>
  <c r="BK25" i="1"/>
  <c r="BI25" i="1"/>
  <c r="BG25" i="1"/>
  <c r="BL24" i="1"/>
  <c r="BK24" i="1"/>
  <c r="BJ24" i="1"/>
  <c r="BG24" i="1"/>
  <c r="BL23" i="1"/>
  <c r="BI23" i="1"/>
  <c r="BG23" i="1"/>
  <c r="BL22" i="1"/>
  <c r="BK22" i="1"/>
  <c r="BJ22" i="1"/>
  <c r="BI22" i="1"/>
  <c r="BG22" i="1"/>
  <c r="BL21" i="1"/>
  <c r="BI21" i="1"/>
  <c r="BG21" i="1"/>
  <c r="BL20" i="1"/>
  <c r="BK20" i="1"/>
  <c r="BJ20" i="1"/>
  <c r="BG20" i="1"/>
  <c r="BL19" i="1"/>
  <c r="BK19" i="1"/>
  <c r="BG19" i="1"/>
  <c r="BL18" i="1"/>
  <c r="BK18" i="1"/>
  <c r="BJ18" i="1"/>
  <c r="BI18" i="1"/>
  <c r="BG18" i="1"/>
  <c r="BL17" i="1"/>
  <c r="BK17" i="1"/>
  <c r="BJ17" i="1"/>
  <c r="BI17" i="1"/>
  <c r="BG17" i="1"/>
  <c r="BL16" i="1"/>
  <c r="BK16" i="1"/>
  <c r="BG16" i="1"/>
  <c r="BJ15" i="1"/>
  <c r="BG15" i="1"/>
  <c r="BK14" i="1"/>
  <c r="BG14" i="1"/>
  <c r="BK13" i="1"/>
  <c r="BJ13" i="1"/>
  <c r="BG13" i="1"/>
  <c r="BK12" i="1"/>
  <c r="BG12" i="1"/>
  <c r="BL11" i="1"/>
  <c r="BK11" i="1"/>
  <c r="BG11" i="1"/>
  <c r="BL10" i="1"/>
  <c r="BK10" i="1"/>
  <c r="BJ10" i="1"/>
  <c r="BG10" i="1"/>
  <c r="BK9" i="1"/>
  <c r="BG9" i="1"/>
  <c r="BL8" i="1"/>
  <c r="BJ8" i="1"/>
  <c r="BG8" i="1"/>
  <c r="BL7" i="1"/>
  <c r="BG7" i="1"/>
  <c r="BL6" i="1"/>
  <c r="BK6" i="1"/>
  <c r="BJ6" i="1"/>
  <c r="BI6" i="1"/>
  <c r="BG6" i="1"/>
  <c r="BL5" i="1"/>
  <c r="BK5" i="1"/>
  <c r="BJ5" i="1"/>
  <c r="BI5" i="1"/>
  <c r="BG5" i="1"/>
  <c r="BL4" i="1"/>
  <c r="BK4" i="1"/>
  <c r="BJ4" i="1"/>
  <c r="BI4" i="1"/>
  <c r="BG4" i="1"/>
  <c r="BP115" i="1" l="1"/>
  <c r="BQ40" i="1"/>
  <c r="BP60" i="1"/>
  <c r="BO67" i="1"/>
  <c r="BR92" i="1"/>
  <c r="BR104" i="1"/>
  <c r="BR125" i="1"/>
  <c r="BQ115" i="1"/>
  <c r="BQ153" i="1"/>
  <c r="BQ30" i="1"/>
  <c r="BR40" i="1"/>
  <c r="BP181" i="1"/>
  <c r="BQ13" i="1"/>
  <c r="BN17" i="1"/>
  <c r="BR17" i="1"/>
  <c r="BN22" i="1"/>
  <c r="BR22" i="1"/>
  <c r="BO30" i="1"/>
  <c r="BO34" i="1"/>
  <c r="BO40" i="1"/>
  <c r="BP116" i="1"/>
  <c r="BP40" i="1"/>
  <c r="BQ4" i="1"/>
  <c r="BP13" i="1"/>
  <c r="BP17" i="1"/>
  <c r="BP22" i="1"/>
  <c r="BQ34" i="1"/>
  <c r="BP41" i="1"/>
  <c r="BR52" i="1"/>
  <c r="BO60" i="1"/>
  <c r="BR67" i="1"/>
  <c r="BP85" i="1"/>
  <c r="BP95" i="1"/>
  <c r="BQ104" i="1"/>
  <c r="BQ125" i="1"/>
  <c r="BR153" i="1"/>
  <c r="BQ17" i="1"/>
  <c r="BN34" i="1"/>
  <c r="BR34" i="1"/>
  <c r="BQ41" i="1"/>
  <c r="BP75" i="1"/>
  <c r="BQ85" i="1"/>
  <c r="BQ95" i="1"/>
  <c r="BP131" i="1"/>
  <c r="BR140" i="1"/>
  <c r="BR4" i="1"/>
  <c r="BO4" i="1"/>
  <c r="BP4" i="1"/>
  <c r="BO13" i="1"/>
  <c r="BO17" i="1"/>
  <c r="BO22" i="1"/>
  <c r="BP30" i="1"/>
  <c r="BP34" i="1"/>
  <c r="BO41" i="1"/>
  <c r="BQ52" i="1"/>
  <c r="BR60" i="1"/>
  <c r="BR64" i="1"/>
  <c r="BQ67" i="1"/>
  <c r="BR75" i="1"/>
  <c r="BO95" i="1"/>
  <c r="BP104" i="1"/>
  <c r="BR115" i="1"/>
  <c r="BR116" i="1"/>
  <c r="BP125" i="1"/>
  <c r="BR131" i="1"/>
  <c r="BP140" i="1"/>
  <c r="BQ140" i="1"/>
  <c r="BN4" i="1"/>
  <c r="BQ22" i="1"/>
  <c r="BN30" i="1"/>
  <c r="BR30" i="1"/>
  <c r="BN13" i="1"/>
  <c r="BR13" i="1"/>
  <c r="BR41" i="1"/>
  <c r="BP52" i="1"/>
  <c r="BQ60" i="1"/>
  <c r="BQ64" i="1"/>
  <c r="BP67" i="1"/>
  <c r="BQ75" i="1"/>
  <c r="BR85" i="1"/>
  <c r="BR95" i="1"/>
  <c r="BO104" i="1"/>
  <c r="BQ116" i="1"/>
  <c r="BQ131" i="1"/>
  <c r="BG180" i="1"/>
  <c r="BG179" i="1"/>
  <c r="BG178" i="1"/>
  <c r="BG177" i="1"/>
  <c r="BG176" i="1"/>
  <c r="BG175" i="1"/>
  <c r="BG174" i="1"/>
  <c r="BG173" i="1"/>
  <c r="BG172" i="1"/>
  <c r="BG171" i="1"/>
  <c r="BG170" i="1"/>
  <c r="BG169" i="1"/>
  <c r="BG168" i="1"/>
  <c r="BG167" i="1"/>
  <c r="BG166" i="1"/>
  <c r="BG165" i="1"/>
  <c r="BG164" i="1"/>
  <c r="BG163" i="1"/>
  <c r="BG162" i="1"/>
  <c r="BG161" i="1"/>
  <c r="BG160" i="1"/>
  <c r="BG159" i="1"/>
  <c r="BG158" i="1"/>
  <c r="AV181" i="1" l="1"/>
</calcChain>
</file>

<file path=xl/comments1.xml><?xml version="1.0" encoding="utf-8"?>
<comments xmlns="http://schemas.openxmlformats.org/spreadsheetml/2006/main">
  <authors>
    <author>Leticia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Leticia:</t>
        </r>
        <r>
          <rPr>
            <sz val="9"/>
            <color indexed="81"/>
            <rFont val="Tahoma"/>
            <family val="2"/>
          </rPr>
          <t xml:space="preserve">
El número de publicaciones está altamente correlacionado con el género del alumno y la Escuela de Doctorado al que pertenece.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Leticia:</t>
        </r>
        <r>
          <rPr>
            <sz val="9"/>
            <color indexed="81"/>
            <rFont val="Tahoma"/>
            <family val="2"/>
          </rPr>
          <t xml:space="preserve">
El número de publicaciones está altamente correlacionado con el género del alumno y el Programa de Doctorado al que pertenece.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Leticia:</t>
        </r>
        <r>
          <rPr>
            <sz val="9"/>
            <color indexed="81"/>
            <rFont val="Tahoma"/>
            <family val="2"/>
          </rPr>
          <t xml:space="preserve">
El número de publicaciones está moderadamente correlacionado con el género del alumno y la Línea de Investigación al que pertenece.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Leticia:</t>
        </r>
        <r>
          <rPr>
            <sz val="9"/>
            <color indexed="81"/>
            <rFont val="Tahoma"/>
            <family val="2"/>
          </rPr>
          <t xml:space="preserve">
El número de alumnos matriculados en las Escuelas de Doctorado prácticamente no se encuentra correlacionado con el género del alumno.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Leticia:</t>
        </r>
        <r>
          <rPr>
            <sz val="9"/>
            <color indexed="81"/>
            <rFont val="Tahoma"/>
            <family val="2"/>
          </rPr>
          <t xml:space="preserve">
El número de alumnos matriculados en los Programas de Doctorado está correlacionado moderadamente con el género del alumno.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Leticia:</t>
        </r>
        <r>
          <rPr>
            <sz val="9"/>
            <color indexed="81"/>
            <rFont val="Tahoma"/>
            <family val="2"/>
          </rPr>
          <t xml:space="preserve">
El número de alumnos matriculados en las Líneas de Investigación prácticamente no se encuentra correlacionado con el género del alumno.</t>
        </r>
      </text>
    </comment>
  </commentList>
</comments>
</file>

<file path=xl/sharedStrings.xml><?xml version="1.0" encoding="utf-8"?>
<sst xmlns="http://schemas.openxmlformats.org/spreadsheetml/2006/main" count="4731" uniqueCount="262">
  <si>
    <t>Curso académico</t>
  </si>
  <si>
    <t>Escuela de Doctorado</t>
  </si>
  <si>
    <t>Programa de Doctorado</t>
  </si>
  <si>
    <t>Línea de Investigación</t>
  </si>
  <si>
    <t>Ciencias de la Salud</t>
  </si>
  <si>
    <t>Biomedicina</t>
  </si>
  <si>
    <t>Evolución Humana. Antropología Física y Forense</t>
  </si>
  <si>
    <t>Actividad Física y Deporte</t>
  </si>
  <si>
    <t>Investigación Traslacional y Medicina Personalizada</t>
  </si>
  <si>
    <t>Biomedicina Regenerativa</t>
  </si>
  <si>
    <t>Inmunología</t>
  </si>
  <si>
    <t>Biotecnología en Biomedicina</t>
  </si>
  <si>
    <t>Ingeniería Tisular</t>
  </si>
  <si>
    <t>Neurociencias Básicas</t>
  </si>
  <si>
    <t>Bioquímica y Biología Molecular</t>
  </si>
  <si>
    <t>Bioquímica y Biología molecular en Ciencias de la vida</t>
  </si>
  <si>
    <t>Biología Molecular de protozoos parásitos</t>
  </si>
  <si>
    <t>Bioquímica y Biología Molecular de plantas y microorganismos</t>
  </si>
  <si>
    <t>Farmacia</t>
  </si>
  <si>
    <t>Química del medicamento</t>
  </si>
  <si>
    <t>Tecnología del medicamento</t>
  </si>
  <si>
    <t>Nuevas dianas terapéuticas</t>
  </si>
  <si>
    <t>Farmacia social</t>
  </si>
  <si>
    <t>Medicina Clínica y Salud Pública</t>
  </si>
  <si>
    <t>Neurociencias clínicas y dolor</t>
  </si>
  <si>
    <t>Radiología y medicina física</t>
  </si>
  <si>
    <t>Investigación en odontología clínica</t>
  </si>
  <si>
    <t>Fisiopatología de las enfermedades médico-quirúrgicas</t>
  </si>
  <si>
    <t>Farmacología Clínica</t>
  </si>
  <si>
    <t>Epidemiología y Salud Pública</t>
  </si>
  <si>
    <t>Agentes infecciosos relacionados con los procesos clínicos</t>
  </si>
  <si>
    <t>Nutrición y Ciencias de los Alimentos</t>
  </si>
  <si>
    <t>Nutrición humana y experimental en situaciones fisiológicas y patológicas. Valoración nutricional</t>
  </si>
  <si>
    <t>Estudios nutricionales. Diseño, calidad y seguridad de los alimentos</t>
  </si>
  <si>
    <t>Bioquímica nutricional</t>
  </si>
  <si>
    <t xml:space="preserve">	Neurociencia del Comportamiento, Cognitiva y Afectiva</t>
  </si>
  <si>
    <t xml:space="preserve">	Psicología Clínica y de la Salud</t>
  </si>
  <si>
    <t xml:space="preserve">	Psicología Social y Educativa</t>
  </si>
  <si>
    <t xml:space="preserve">	Psicología Experimental y Aplicada</t>
  </si>
  <si>
    <t>Psicología Experimental y Aplicada</t>
  </si>
  <si>
    <t>Psicología Clínica y de la Salud</t>
  </si>
  <si>
    <t>Metodología de Investigación y medición en psicología y salud</t>
  </si>
  <si>
    <t>Neurociencia del Comportamiento, Cognitiva y Afectiva</t>
  </si>
  <si>
    <t>Programa de Doctorado en Biomedicina</t>
  </si>
  <si>
    <t>Programa de Doctorado en Bioquímica y Biología Molecular</t>
  </si>
  <si>
    <t>Programa de Doctorado en Farmacia</t>
  </si>
  <si>
    <t>Programa de Doctorado en Medicina Clínica y Salud Pública</t>
  </si>
  <si>
    <t>Programa de Doctorado en Nutrición y Ciencias de los Alimentos</t>
  </si>
  <si>
    <t>Programa de Doctorado en Psicología</t>
  </si>
  <si>
    <t>Programa de Doctorado en Biología Fundamental y de Sistemas</t>
  </si>
  <si>
    <t>Antioxidantes y Señalización por Especies de Oxígeno y Nitrógeno Reactivo en Plantas</t>
  </si>
  <si>
    <t>Biología, Conservación y Gestión de la Fauna</t>
  </si>
  <si>
    <t>Biología, Conservación y Gestión de la Flora</t>
  </si>
  <si>
    <t>Bioquímica, Inmunología y Parasitología Molecular</t>
  </si>
  <si>
    <t>Biotecnología y Fisiología de Cultivos de interés Agroalimentario</t>
  </si>
  <si>
    <t>Fisiología, Bioquímica y Biología Molecular del Estrés Abiótico en Plantas</t>
  </si>
  <si>
    <t>Genética y Genómica funcional y Evolutiva</t>
  </si>
  <si>
    <t>Metabolismo de nutrientes y energía de especies pecuarias</t>
  </si>
  <si>
    <t>Microbiología ambiental</t>
  </si>
  <si>
    <t>Paleontología y Evolución</t>
  </si>
  <si>
    <t>Programa de Doctorado en Ciencias de la Tierra</t>
  </si>
  <si>
    <t>Programa de Doctorado en Dinámica de Flujos Biogeoquímicos y sus Aplicaciones</t>
  </si>
  <si>
    <t>Programa de Doctorado en Estadística Matemática y Aplicada</t>
  </si>
  <si>
    <t>Programa de Doctorado en Física y Ciencias del Espacio</t>
  </si>
  <si>
    <t>Programa de Doctorado en Física y Matemáticas</t>
  </si>
  <si>
    <t>Programa de Doctorado en Ingeniería Civil</t>
  </si>
  <si>
    <t>Programa de Doctorado en Matemáticas</t>
  </si>
  <si>
    <t>Programa de Doctorado en Química</t>
  </si>
  <si>
    <t>Programa de Doctorado en Tecnologías de la información y la Comunicación</t>
  </si>
  <si>
    <t>Programa de Doctorado en Ciencias de la Educación</t>
  </si>
  <si>
    <t>Programa de Doctorado en Ciencias Económicas y Empresariales</t>
  </si>
  <si>
    <t>Programa de Doctorado en Ciencias Jurídicas</t>
  </si>
  <si>
    <t>Programa de Doctorado en Ciencias Sociales</t>
  </si>
  <si>
    <t>Programa de Doctorado en Estudios de las Mujeres, Discursos y Prácticas de Género</t>
  </si>
  <si>
    <t>Programa de Doctorado en Estudios Migratorios</t>
  </si>
  <si>
    <t>Programa de Doctorado en Filosofía</t>
  </si>
  <si>
    <t>Programa de Doctorado en Historia y Artes</t>
  </si>
  <si>
    <t>Programa de Doctorado en Lenguas, Textos y Contextos</t>
  </si>
  <si>
    <t>Ciencias, Tecnologías en Ingenierías</t>
  </si>
  <si>
    <t>Biología Fundamental y de Sistemas</t>
  </si>
  <si>
    <t>Ciencias de la Tierra</t>
  </si>
  <si>
    <t>Geología estructural y Tectónica</t>
  </si>
  <si>
    <t>Geología aplicada a la obra civil y riesgo geológico</t>
  </si>
  <si>
    <t>Paleontología y Paleoecología</t>
  </si>
  <si>
    <t>Geoquímica</t>
  </si>
  <si>
    <t>Paleo-climatología y dinámica atmosférica</t>
  </si>
  <si>
    <t>Petrogénesis y Yacimientos minerales</t>
  </si>
  <si>
    <t>Mineralogía</t>
  </si>
  <si>
    <t>Dinámica de Flujos Biogeoquímicos y sus Aplicaciones</t>
  </si>
  <si>
    <t>Gestión integral de recursos atmosféricos y marinos y de las infraestructuras para su aprovechamiento</t>
  </si>
  <si>
    <t>Procesos litorales y evolución de los sistemas costeros</t>
  </si>
  <si>
    <t>Oceanografía física y ecosistemas marinos</t>
  </si>
  <si>
    <t>Estadística Matemática y Aplicada</t>
  </si>
  <si>
    <t>Análisis multivariante e inferencia en procesos multivariantes</t>
  </si>
  <si>
    <t>Bioestadística</t>
  </si>
  <si>
    <t>Física y Ciencias del Espacio</t>
  </si>
  <si>
    <t>Ciencias Atmosféricas y Meteorología</t>
  </si>
  <si>
    <t>Física Atómica, Molecular y Nuclear</t>
  </si>
  <si>
    <t>Astrofísica Planetaria</t>
  </si>
  <si>
    <t>Ciencia y Tecnología de Nanopartículas e Interfases</t>
  </si>
  <si>
    <t>Física de Partículas, Astropartículas y Cosmología</t>
  </si>
  <si>
    <t>Física de Dispositivos Electrónicos y Semiconductores</t>
  </si>
  <si>
    <t>Óptica</t>
  </si>
  <si>
    <t>Física y Matemáticas</t>
  </si>
  <si>
    <t>Física de la Información. Átomos en Campos Externos. Teoría de Aproximación</t>
  </si>
  <si>
    <t>Geometría y dinámica de partículas y cuerdas relativistas. Geometría de Lorentz y Gravitación</t>
  </si>
  <si>
    <t>Fenómenos cooperativos en Física Estadística: teoría y aplicaciones interdisciplinares. Teoría y simulación de sistemas complejos</t>
  </si>
  <si>
    <t>Biomatemáticas. Biofísica. Dinámica celular y tumoral.Formación de patrones. Ecología</t>
  </si>
  <si>
    <t>Sistemas dinámicos. Dinámica hamiltoniana. Teoría cualitativa de ecuaciones diferenciales. Optimización y métodos variacionales. Análisis no lineal y ecuaciones elípticas</t>
  </si>
  <si>
    <t>Astrofísica galáctica. Radioastronomía. Medio interestelar. Estructura galáctica. Formación estelar</t>
  </si>
  <si>
    <t>Cosmología. Fondo cósmico de microondas. Estructura a gran escala</t>
  </si>
  <si>
    <t>Astrofísica estelar. Evolución estelar. Supernovas</t>
  </si>
  <si>
    <t>Teoría cuántica de campos no lineales. Representación de grupos de dimensión infinita. Cuantización de teorías Gauge. Gravedad cuántica. Física Matemática</t>
  </si>
  <si>
    <t xml:space="preserve">Ingeniería Civil </t>
  </si>
  <si>
    <t>Ordenación del Territorio. Evaluación y Planificación Ambiental</t>
  </si>
  <si>
    <t>Ingeniería de la Construcción y del Terreno</t>
  </si>
  <si>
    <t>Tratamiento de Aguas</t>
  </si>
  <si>
    <t>Hormigón y Acero Estructural</t>
  </si>
  <si>
    <t>Dinámica de Estructuras e Ingeniería Sísmica</t>
  </si>
  <si>
    <t>Transportes, Energía y Medioambiente</t>
  </si>
  <si>
    <t>Matemáticas</t>
  </si>
  <si>
    <t>Análisis Funcional. Espacios y Álgebras de Banach. Aplicaciones</t>
  </si>
  <si>
    <t>Análisis geométrico</t>
  </si>
  <si>
    <t>Química</t>
  </si>
  <si>
    <t>Química de productos Naturales</t>
  </si>
  <si>
    <t>Metodologías de obtención de información analítica en sistemas reales</t>
  </si>
  <si>
    <t>Bioprocesos</t>
  </si>
  <si>
    <t>Proteómica e ingeniería de proteínas</t>
  </si>
  <si>
    <t>Adsorción y catálisis</t>
  </si>
  <si>
    <t>Química de la coordinación</t>
  </si>
  <si>
    <t>Plegamiento de proteínas e interacción con ligandos</t>
  </si>
  <si>
    <t>I+D+i en tecnología analítica instrumental</t>
  </si>
  <si>
    <t xml:space="preserve"> Tecnologías de la información y la Comunicación </t>
  </si>
  <si>
    <t>Soft computing</t>
  </si>
  <si>
    <t>Sistemas Inteligentes de Ayuda a la Decisión</t>
  </si>
  <si>
    <t>Aplicaciones de las TIC: Salud-Bienestar social, Medio ambiente-Energía y Agroalimentarias</t>
  </si>
  <si>
    <t>Procesado y clasificación de imágenes y vídeo. Visión por computador</t>
  </si>
  <si>
    <t>Bioinformática</t>
  </si>
  <si>
    <t>Humanidades y Ciencias Sociales y Jurídicas</t>
  </si>
  <si>
    <t>Ciencias de la Educación</t>
  </si>
  <si>
    <t>Investigación en Educación Física y Deportiva</t>
  </si>
  <si>
    <t>Psicología, Educación y Desarrollo</t>
  </si>
  <si>
    <t>Educación Matemática</t>
  </si>
  <si>
    <t>Currículum, Organización y Formación para la Equidad en la Sociedad del Conocimiento</t>
  </si>
  <si>
    <t>Diagnóstico, Evaluación e Intervención Psicoeducativa</t>
  </si>
  <si>
    <t>Investigación en Educación Musical y en Artes Plásticas</t>
  </si>
  <si>
    <t>Investigación en Educación: Aspectos Teóricos, Históricos y de Educación Social</t>
  </si>
  <si>
    <t>Didáctica de las Lenguas y sus Literaturas</t>
  </si>
  <si>
    <t>Ciencias Económicas y Empresariales</t>
  </si>
  <si>
    <t>Economía pública: recaudación, salud, dependencia, educación y gestión del agua</t>
  </si>
  <si>
    <t>Técnicas Cuantitativas Avanzadas en el Ámbito Económico y Empresarial</t>
  </si>
  <si>
    <t>Sistemas de información económico-financiera para la dirección, gestión y control de entidades públicas y privadas</t>
  </si>
  <si>
    <t>Análisis económico</t>
  </si>
  <si>
    <t>Dirección estratégica, creación de empresas, flexibilidad y calidad</t>
  </si>
  <si>
    <t>Ciencias Jurídicas</t>
  </si>
  <si>
    <t>Derecho de la protección social pública y políticas sociales del Estado del Bienestar</t>
  </si>
  <si>
    <t>Derecho Financiero. Ingresos y gastos públicos</t>
  </si>
  <si>
    <t>Criminalidad y Derecho</t>
  </si>
  <si>
    <t>Metodología, historia del conocimiento y la argumentación jurídica. Evaluación legislativa y aplicación del Derecho</t>
  </si>
  <si>
    <t>Derecho Económico, de los negocios y de la empresa</t>
  </si>
  <si>
    <t>Derecho del Consumo</t>
  </si>
  <si>
    <t>Modelos de Estado, Derechos Fundamentales. Tutela judicial de derechos</t>
  </si>
  <si>
    <t>Ciencias Sociales</t>
  </si>
  <si>
    <t>Ciencia política y de la administración</t>
  </si>
  <si>
    <t>Dinámicas y cambios en el espacio y en la sociedad de la Globalización</t>
  </si>
  <si>
    <t>Antropología de la salud, el cuidado, las adicciones y el cuerpo</t>
  </si>
  <si>
    <t>Cultura de paz</t>
  </si>
  <si>
    <t>Comunicación audiovisual y periodismo</t>
  </si>
  <si>
    <t>Información y comunicación científica</t>
  </si>
  <si>
    <t xml:space="preserve">Estudios de las Mujeres, Discursos y Prácticas de Género </t>
  </si>
  <si>
    <t>Estudios de las Mujeres y de Género: Historia, Discursos, Ciencia y Poder</t>
  </si>
  <si>
    <t>Estudios Migratorios</t>
  </si>
  <si>
    <t>Globalización y movilidad humana: trabajo y migraciones</t>
  </si>
  <si>
    <t>Análisis social, cultural y de género de las migraciones</t>
  </si>
  <si>
    <t>Filosofía</t>
  </si>
  <si>
    <t>Génesis de la modernidad: de Leibniz a Kant</t>
  </si>
  <si>
    <t>Metafísica y Nihilismo: filosofía como terapia y el problema de las pasiones</t>
  </si>
  <si>
    <t>Lenguaje, mente y conocimiento: perspectivas formales y pragmáticas</t>
  </si>
  <si>
    <t>Hermenéutica: crítica y diferencia. Problemas interculturales</t>
  </si>
  <si>
    <t>Historia y Artes</t>
  </si>
  <si>
    <t>Creación Artística, Audiovisual y Reflexión Crítica</t>
  </si>
  <si>
    <t>Cultura, Creación y Educación Musical</t>
  </si>
  <si>
    <t>Al-Andalus y las sociedades feudales</t>
  </si>
  <si>
    <t>Conocimiento y Tutela del Patrimonio Histórico</t>
  </si>
  <si>
    <t>Arqueología y cultura material</t>
  </si>
  <si>
    <t>Territorio, Patrimonio y Medio Ambiente</t>
  </si>
  <si>
    <t>Sociedades y Culturas Americanas</t>
  </si>
  <si>
    <t>Cultura Artística</t>
  </si>
  <si>
    <t>Género e Historia</t>
  </si>
  <si>
    <t>Cambios sociopolíticos en el mundo moderno y contemporáneo</t>
  </si>
  <si>
    <t>Restauración y Conservación de Bienes patrimoniales</t>
  </si>
  <si>
    <t>Historia y tradición clásica</t>
  </si>
  <si>
    <t>Lenguas, Textos y Contextos</t>
  </si>
  <si>
    <t>Judaísmo clásico y medieval y mundo sefardí</t>
  </si>
  <si>
    <t>Literatura Española e hispanoamericana</t>
  </si>
  <si>
    <t>Linguistica teórica y aplicada y Teoría de la literatura y literatura comparada</t>
  </si>
  <si>
    <t>Traducción e Interpretación</t>
  </si>
  <si>
    <t>Lengua y Literatura inglesas</t>
  </si>
  <si>
    <t>Estudios eslavos</t>
  </si>
  <si>
    <t>Lengua española</t>
  </si>
  <si>
    <t>Estudios árabes e islámicos</t>
  </si>
  <si>
    <t>Estudios románicos: lengua y literatura italiana, portuguesa y catalana</t>
  </si>
  <si>
    <t>Minería de datos</t>
  </si>
  <si>
    <t>Sistemas de Información y Bases de datos</t>
  </si>
  <si>
    <t>Interacción Persona-Ordenador</t>
  </si>
  <si>
    <t>Monitorización y Sistemas de Control Avanzados</t>
  </si>
  <si>
    <t>Especificación y Modelado de Sistemas. Desarrollo de Software</t>
  </si>
  <si>
    <t>Psicología</t>
  </si>
  <si>
    <t>Psicología Social y Educativa</t>
  </si>
  <si>
    <t>Derecho Internacional, de la Unión Europea y Comparado</t>
  </si>
  <si>
    <t>Problemas sociales y cursos vitales en la sociedad global</t>
  </si>
  <si>
    <t>Hombre</t>
  </si>
  <si>
    <t>Hombres</t>
  </si>
  <si>
    <t>Mujeres</t>
  </si>
  <si>
    <t>Género</t>
  </si>
  <si>
    <t>Mujer</t>
  </si>
  <si>
    <t>Escuela de Doctorado de Humanidades y Ciencias Sociales y Jurídicas</t>
  </si>
  <si>
    <t>Publicaciones por género</t>
  </si>
  <si>
    <t>Promedio de publicaciones</t>
  </si>
  <si>
    <t>Publicaciones</t>
  </si>
  <si>
    <t>Promedio anual de publicaciones por alumno</t>
  </si>
  <si>
    <t>Promedio de publicaciones por alumno</t>
  </si>
  <si>
    <t>Publicaciones por curso académico</t>
  </si>
  <si>
    <t>Promedio anual de publicaciones</t>
  </si>
  <si>
    <t>Escuela de Doctorado de Ciencias, Tecnologías e Ingenierías</t>
  </si>
  <si>
    <t>← correlación positiva alta</t>
  </si>
  <si>
    <t>← correlación positiva moderada</t>
  </si>
  <si>
    <t>Alumnos</t>
  </si>
  <si>
    <t>Alumnos por género</t>
  </si>
  <si>
    <t>Número de alumnos</t>
  </si>
  <si>
    <t>Número de publicaciones</t>
  </si>
  <si>
    <t>Alumnos por curso académico</t>
  </si>
  <si>
    <t>Cotutela con otra UniverSídad</t>
  </si>
  <si>
    <t>No</t>
  </si>
  <si>
    <t>Sí</t>
  </si>
  <si>
    <t>Vinculación UGR</t>
  </si>
  <si>
    <t>Cotutelas</t>
  </si>
  <si>
    <t>Mención Internacional</t>
  </si>
  <si>
    <t>Tesis en Digibug</t>
  </si>
  <si>
    <t>TESEO</t>
  </si>
  <si>
    <t>Tesis en Dialnet</t>
  </si>
  <si>
    <t>Tesis en TESEO</t>
  </si>
  <si>
    <t xml:space="preserve">Total </t>
  </si>
  <si>
    <t>Escuela de Doctorado de Ciencias de la Salud</t>
  </si>
  <si>
    <t>← correlación positiva baja</t>
  </si>
  <si>
    <t>Correlaciones</t>
  </si>
  <si>
    <t>Género/Escuela</t>
  </si>
  <si>
    <t>Género/Programa</t>
  </si>
  <si>
    <t>Género/Línea</t>
  </si>
  <si>
    <t>Fecha de lectura</t>
  </si>
  <si>
    <t>Año lectura</t>
  </si>
  <si>
    <t>Alumnos por año de lectura</t>
  </si>
  <si>
    <t>Publicaciones por año de lectuta</t>
  </si>
  <si>
    <t>Publicaciones MI</t>
  </si>
  <si>
    <t>Sin Mención Internacional</t>
  </si>
  <si>
    <t>Publicaciones Sin MI</t>
  </si>
  <si>
    <t>Sin Cotutela</t>
  </si>
  <si>
    <t>Publicaciones Cotutelas</t>
  </si>
  <si>
    <t>Publicaciones Sin Cotutelas</t>
  </si>
  <si>
    <t>Total Publicaciones</t>
  </si>
  <si>
    <t>← correlación positiva muy alta</t>
  </si>
  <si>
    <t>Sin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</si>
</sst>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1717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2" xfId="0" applyFill="1" applyBorder="1" applyAlignment="1">
      <alignment horizontal="left" indent="1"/>
    </xf>
    <xf numFmtId="0" fontId="0" fillId="3" borderId="3" xfId="0" applyFill="1" applyBorder="1" applyAlignment="1">
      <alignment horizontal="left" indent="1"/>
    </xf>
    <xf numFmtId="0" fontId="0" fillId="3" borderId="4" xfId="0" applyFill="1" applyBorder="1" applyAlignment="1">
      <alignment horizontal="left" inden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indent="1"/>
    </xf>
    <xf numFmtId="0" fontId="1" fillId="2" borderId="4" xfId="0" applyFont="1" applyFill="1" applyBorder="1" applyAlignment="1">
      <alignment horizontal="left" indent="1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14" fontId="0" fillId="0" borderId="0" xfId="0" applyNumberFormat="1"/>
    <xf numFmtId="0" fontId="0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 applyBorder="1"/>
    <xf numFmtId="0" fontId="2" fillId="5" borderId="1" xfId="0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0" xfId="0" applyNumberFormat="1"/>
    <xf numFmtId="164" fontId="0" fillId="2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4" borderId="4" xfId="0" applyFill="1" applyBorder="1" applyAlignment="1">
      <alignment horizontal="center"/>
    </xf>
    <xf numFmtId="0" fontId="0" fillId="0" borderId="0" xfId="0" applyFill="1"/>
    <xf numFmtId="0" fontId="1" fillId="2" borderId="2" xfId="0" applyFont="1" applyFill="1" applyBorder="1" applyAlignment="1">
      <alignment horizontal="center" vertical="center" wrapText="1"/>
    </xf>
    <xf numFmtId="0" fontId="0" fillId="8" borderId="2" xfId="0" applyFill="1" applyBorder="1"/>
    <xf numFmtId="0" fontId="0" fillId="9" borderId="8" xfId="0" applyFill="1" applyBorder="1"/>
    <xf numFmtId="0" fontId="4" fillId="9" borderId="7" xfId="0" applyFont="1" applyFill="1" applyBorder="1"/>
    <xf numFmtId="0" fontId="0" fillId="9" borderId="9" xfId="0" applyFill="1" applyBorder="1"/>
    <xf numFmtId="0" fontId="4" fillId="9" borderId="10" xfId="0" applyFont="1" applyFill="1" applyBorder="1"/>
    <xf numFmtId="0" fontId="0" fillId="8" borderId="9" xfId="0" applyFill="1" applyBorder="1"/>
    <xf numFmtId="0" fontId="0" fillId="9" borderId="2" xfId="0" applyFill="1" applyBorder="1"/>
    <xf numFmtId="0" fontId="4" fillId="9" borderId="4" xfId="0" applyFont="1" applyFill="1" applyBorder="1"/>
    <xf numFmtId="0" fontId="0" fillId="8" borderId="8" xfId="0" applyFill="1" applyBorder="1"/>
    <xf numFmtId="14" fontId="0" fillId="0" borderId="0" xfId="0" applyNumberFormat="1" applyAlignment="1">
      <alignment horizontal="right"/>
    </xf>
    <xf numFmtId="14" fontId="1" fillId="0" borderId="0" xfId="0" applyNumberFormat="1" applyFont="1"/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indent="3"/>
    </xf>
    <xf numFmtId="0" fontId="0" fillId="4" borderId="3" xfId="0" applyFill="1" applyBorder="1" applyAlignment="1">
      <alignment horizontal="left" indent="3"/>
    </xf>
    <xf numFmtId="0" fontId="0" fillId="4" borderId="4" xfId="0" applyFill="1" applyBorder="1" applyAlignment="1">
      <alignment horizontal="left" indent="3"/>
    </xf>
    <xf numFmtId="0" fontId="0" fillId="3" borderId="2" xfId="0" applyFill="1" applyBorder="1" applyAlignment="1">
      <alignment horizontal="left" indent="1"/>
    </xf>
    <xf numFmtId="0" fontId="0" fillId="3" borderId="3" xfId="0" applyFill="1" applyBorder="1" applyAlignment="1">
      <alignment horizontal="left" indent="1"/>
    </xf>
    <xf numFmtId="0" fontId="0" fillId="3" borderId="4" xfId="0" applyFill="1" applyBorder="1" applyAlignment="1">
      <alignment horizontal="left" inden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 wrapText="1" indent="3"/>
    </xf>
    <xf numFmtId="0" fontId="0" fillId="4" borderId="3" xfId="0" applyFill="1" applyBorder="1" applyAlignment="1">
      <alignment horizontal="left" wrapText="1" indent="3"/>
    </xf>
    <xf numFmtId="0" fontId="0" fillId="4" borderId="4" xfId="0" applyFill="1" applyBorder="1" applyAlignment="1">
      <alignment horizontal="left" wrapText="1" indent="3"/>
    </xf>
    <xf numFmtId="164" fontId="2" fillId="5" borderId="2" xfId="0" applyNumberFormat="1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164" fontId="2" fillId="5" borderId="4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BAB"/>
      <color rgb="FFC10B0B"/>
      <color rgb="FF570505"/>
      <color rgb="FF8E0808"/>
      <color rgb="FF700606"/>
      <color rgb="FFA30909"/>
      <color rgb="FFA5CD9B"/>
      <color rgb="FF4B823E"/>
      <color rgb="FFB0D5A7"/>
      <color rgb="FF8AC1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cap="none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Calibri (Cuerpo)"/>
                <a:ea typeface="+mn-ea"/>
                <a:cs typeface="+mn-cs"/>
              </a:defRPr>
            </a:pPr>
            <a:r>
              <a:rPr lang="es-ES" sz="1500" cap="none" baseline="0">
                <a:latin typeface="Calibri (Cuerpo)"/>
              </a:rPr>
              <a:t>Número de alumnos por género</a:t>
            </a:r>
          </a:p>
        </c:rich>
      </c:tx>
      <c:layout>
        <c:manualLayout>
          <c:xMode val="edge"/>
          <c:yMode val="edge"/>
          <c:x val="0.11028455818022749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800" b="1" i="0" u="none" strike="noStrike" kern="1200" cap="none" spc="150" baseline="0">
              <a:solidFill>
                <a:schemeClr val="tx1">
                  <a:lumMod val="50000"/>
                  <a:lumOff val="50000"/>
                </a:schemeClr>
              </a:solidFill>
              <a:latin typeface="Calibri (Cuerpo)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flip="none" rotWithShape="1">
                <a:gsLst>
                  <a:gs pos="0">
                    <a:schemeClr val="accent5">
                      <a:lumMod val="67000"/>
                      <a:alpha val="99000"/>
                    </a:schemeClr>
                  </a:gs>
                  <a:gs pos="48000">
                    <a:schemeClr val="accent5">
                      <a:lumMod val="97000"/>
                      <a:lumOff val="3000"/>
                    </a:schemeClr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 scaled="1"/>
                <a:tileRect/>
              </a:gradFill>
              <a:ln w="19050">
                <a:solidFill>
                  <a:schemeClr val="lt1"/>
                </a:solidFill>
              </a:ln>
              <a:effectLst>
                <a:innerShdw blurRad="114300">
                  <a:schemeClr val="tx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66B3-47F0-8913-E284AB2F3CD8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chemeClr val="accent3">
                      <a:lumMod val="67000"/>
                    </a:schemeClr>
                  </a:gs>
                  <a:gs pos="51000">
                    <a:schemeClr val="accent3">
                      <a:lumMod val="97000"/>
                      <a:lumOff val="3000"/>
                    </a:schemeClr>
                  </a:gs>
                  <a:gs pos="100000">
                    <a:schemeClr val="accent3">
                      <a:lumMod val="60000"/>
                      <a:lumOff val="40000"/>
                    </a:schemeClr>
                  </a:gs>
                </a:gsLst>
                <a:lin ang="5400000" scaled="1"/>
              </a:gradFill>
              <a:ln w="19050">
                <a:solidFill>
                  <a:schemeClr val="lt1"/>
                </a:solidFill>
              </a:ln>
              <a:effectLst>
                <a:innerShdw blurRad="114300">
                  <a:schemeClr val="bg2">
                    <a:lumMod val="25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66B3-47F0-8913-E284AB2F3C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5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(Indicadores!$V$2,Indicadores!$W$2)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(Indicadores!$V$181,Indicadores!$W$181)</c:f>
              <c:numCache>
                <c:formatCode>General</c:formatCode>
                <c:ptCount val="2"/>
                <c:pt idx="0">
                  <c:v>229</c:v>
                </c:pt>
                <c:pt idx="1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B3-47F0-8913-E284AB2F3CD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750940507436559"/>
          <c:y val="0.44727945465150187"/>
          <c:w val="0.16365879265091862"/>
          <c:h val="0.17866360454943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Doctorados Internacionales y publicaciones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Publicaciones</c:v>
          </c:tx>
          <c:spPr>
            <a:gradFill>
              <a:gsLst>
                <a:gs pos="0">
                  <a:srgbClr val="F8F8F8"/>
                </a:gs>
                <a:gs pos="0">
                  <a:schemeClr val="bg2">
                    <a:lumMod val="75000"/>
                  </a:schemeClr>
                </a:gs>
                <a:gs pos="34000">
                  <a:schemeClr val="tx1">
                    <a:lumMod val="50000"/>
                    <a:lumOff val="50000"/>
                  </a:schemeClr>
                </a:gs>
                <a:gs pos="100000">
                  <a:schemeClr val="tx1">
                    <a:lumMod val="65000"/>
                    <a:lumOff val="35000"/>
                  </a:schemeClr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29268250213520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65-4392-98EC-00092670B246}"/>
                </c:ext>
              </c:extLst>
            </c:dLbl>
            <c:dLbl>
              <c:idx val="1"/>
              <c:layout>
                <c:manualLayout>
                  <c:x val="-8.5691052522063757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A65-4392-98EC-00092670B2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Mención Internacional</c:v>
              </c:pt>
              <c:pt idx="1">
                <c:v>Sin Mención Internacional</c:v>
              </c:pt>
            </c:strLit>
          </c:cat>
          <c:val>
            <c:numRef>
              <c:f>Indicadores!$AM$182:$AN$182</c:f>
              <c:numCache>
                <c:formatCode>General</c:formatCode>
                <c:ptCount val="2"/>
                <c:pt idx="0">
                  <c:v>1665</c:v>
                </c:pt>
                <c:pt idx="1">
                  <c:v>1528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12-4A18-ABB1-37F548A08E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79104480"/>
        <c:axId val="1879107392"/>
      </c:barChart>
      <c:lineChart>
        <c:grouping val="standard"/>
        <c:varyColors val="0"/>
        <c:ser>
          <c:idx val="0"/>
          <c:order val="0"/>
          <c:tx>
            <c:v>Doctorados</c:v>
          </c:tx>
          <c:spPr>
            <a:ln w="28575" cap="rnd">
              <a:solidFill>
                <a:srgbClr val="8E0808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8E0808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Indicadores!$AM$181:$AN$181</c:f>
              <c:numCache>
                <c:formatCode>General</c:formatCode>
                <c:ptCount val="2"/>
                <c:pt idx="0">
                  <c:v>165</c:v>
                </c:pt>
                <c:pt idx="1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12-4A18-ABB1-37F548A08E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9104480"/>
        <c:axId val="1879107392"/>
      </c:lineChart>
      <c:catAx>
        <c:axId val="187910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79107392"/>
        <c:crosses val="autoZero"/>
        <c:auto val="1"/>
        <c:lblAlgn val="ctr"/>
        <c:lblOffset val="100"/>
        <c:noMultiLvlLbl val="0"/>
      </c:catAx>
      <c:valAx>
        <c:axId val="18791073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910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 b="0" i="0" baseline="0">
                <a:effectLst/>
              </a:rPr>
              <a:t>Total de tesis cotuteladas</a:t>
            </a:r>
            <a:endParaRPr lang="es-E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8E080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CF6-45F6-A8C1-60FB516F6BBE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rgbClr val="F8F8F8"/>
                  </a:gs>
                  <a:gs pos="0">
                    <a:schemeClr val="bg2">
                      <a:lumMod val="75000"/>
                    </a:schemeClr>
                  </a:gs>
                  <a:gs pos="43000">
                    <a:schemeClr val="tx1">
                      <a:lumMod val="50000"/>
                      <a:lumOff val="50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16200000" scaled="1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F6-45F6-A8C1-60FB516F6BBE}"/>
              </c:ext>
            </c:extLst>
          </c:dPt>
          <c:dLbls>
            <c:dLbl>
              <c:idx val="0"/>
              <c:layout>
                <c:manualLayout>
                  <c:x val="0.10938276465441819"/>
                  <c:y val="7.47448235637209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F6-45F6-A8C1-60FB516F6BBE}"/>
                </c:ext>
              </c:extLst>
            </c:dLbl>
            <c:dLbl>
              <c:idx val="1"/>
              <c:layout>
                <c:manualLayout>
                  <c:x val="3.7119203849518813E-2"/>
                  <c:y val="-0.2588393117526975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CF6-45F6-A8C1-60FB516F6B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(Indicadores!$AH$1,Indicadores!$AI$1)</c:f>
              <c:strCache>
                <c:ptCount val="2"/>
                <c:pt idx="0">
                  <c:v>Cotutelas</c:v>
                </c:pt>
                <c:pt idx="1">
                  <c:v>Sin Cotutela</c:v>
                </c:pt>
              </c:strCache>
            </c:strRef>
          </c:cat>
          <c:val>
            <c:numRef>
              <c:f>(Indicadores!$AH$181,Indicadores!$AI$181)</c:f>
              <c:numCache>
                <c:formatCode>General</c:formatCode>
                <c:ptCount val="2"/>
                <c:pt idx="0">
                  <c:v>16</c:v>
                </c:pt>
                <c:pt idx="1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F6-45F6-A8C1-60FB516F6BB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274496937882769"/>
          <c:y val="0.38143445610965293"/>
          <c:w val="0.21392169728783902"/>
          <c:h val="0.271991834354039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 sz="1600" b="0" i="0" baseline="0">
                <a:effectLst/>
              </a:rPr>
              <a:t>Total alumnos con mención internacional </a:t>
            </a:r>
            <a:endParaRPr lang="es-E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8E080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78-4A8F-BB7D-3C981CC59774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rgbClr val="F8F8F8"/>
                  </a:gs>
                  <a:gs pos="0">
                    <a:schemeClr val="bg2">
                      <a:lumMod val="75000"/>
                    </a:schemeClr>
                  </a:gs>
                  <a:gs pos="39000">
                    <a:schemeClr val="tx1">
                      <a:lumMod val="50000"/>
                      <a:lumOff val="50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16200000" scaled="1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E78-4A8F-BB7D-3C981CC597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Indicadores!$AM$1:$AN$2</c:f>
              <c:strCache>
                <c:ptCount val="2"/>
                <c:pt idx="0">
                  <c:v>Mención Internacional</c:v>
                </c:pt>
                <c:pt idx="1">
                  <c:v>Sin Mención Internacional</c:v>
                </c:pt>
              </c:strCache>
            </c:strRef>
          </c:cat>
          <c:val>
            <c:numRef>
              <c:f>(Indicadores!$AM$181,Indicadores!$AN$181)</c:f>
              <c:numCache>
                <c:formatCode>General</c:formatCode>
                <c:ptCount val="2"/>
                <c:pt idx="0">
                  <c:v>165</c:v>
                </c:pt>
                <c:pt idx="1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78-4A8F-BB7D-3C981CC5977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574431321084864"/>
          <c:y val="0.42310112277631956"/>
          <c:w val="0.34314457567804024"/>
          <c:h val="0.258102945465150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 b="0" i="0" baseline="0">
                <a:effectLst/>
              </a:rPr>
              <a:t>Total alumnos vinculados a la UGR</a:t>
            </a:r>
            <a:endParaRPr lang="es-E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E0808"/>
            </a:solidFill>
          </c:spPr>
          <c:dPt>
            <c:idx val="0"/>
            <c:bubble3D val="0"/>
            <c:spPr>
              <a:solidFill>
                <a:srgbClr val="8E080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10-4878-BB63-669207313F01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rgbClr val="F8F8F8"/>
                  </a:gs>
                  <a:gs pos="0">
                    <a:schemeClr val="bg2">
                      <a:lumMod val="75000"/>
                    </a:schemeClr>
                  </a:gs>
                  <a:gs pos="34000">
                    <a:schemeClr val="tx1">
                      <a:lumMod val="50000"/>
                      <a:lumOff val="50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16200000" scaled="1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10-4878-BB63-669207313F01}"/>
              </c:ext>
            </c:extLst>
          </c:dPt>
          <c:dLbls>
            <c:dLbl>
              <c:idx val="0"/>
              <c:layout>
                <c:manualLayout>
                  <c:x val="2.5769466316710413E-2"/>
                  <c:y val="-6.377223680373307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210-4878-BB63-669207313F01}"/>
                </c:ext>
              </c:extLst>
            </c:dLbl>
            <c:dLbl>
              <c:idx val="1"/>
              <c:layout>
                <c:manualLayout>
                  <c:x val="0.1269403980752406"/>
                  <c:y val="-0.246538349372995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210-4878-BB63-669207313F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(Indicadores!$AL$1,Indicadores!$AL$183)</c:f>
              <c:strCache>
                <c:ptCount val="2"/>
                <c:pt idx="0">
                  <c:v>Vinculación UGR</c:v>
                </c:pt>
                <c:pt idx="1">
                  <c:v>Sin vinculación</c:v>
                </c:pt>
              </c:strCache>
            </c:strRef>
          </c:cat>
          <c:val>
            <c:numRef>
              <c:f>(Indicadores!$AL$181,Indicadores!$AL$182)</c:f>
              <c:numCache>
                <c:formatCode>General</c:formatCode>
                <c:ptCount val="2"/>
                <c:pt idx="0">
                  <c:v>62</c:v>
                </c:pt>
                <c:pt idx="1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10-4878-BB63-669207313F0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217519685039369"/>
          <c:y val="0.38606408573928253"/>
          <c:w val="0.2706025809273841"/>
          <c:h val="0.290510352872557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 b="0" i="0" baseline="0">
                <a:effectLst/>
              </a:rPr>
              <a:t>Porcentaje de alumnos por Escuela de Doctorado</a:t>
            </a:r>
            <a:endParaRPr lang="es-ES" sz="1300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0">
                    <a:srgbClr val="F8F8F8"/>
                  </a:gs>
                  <a:gs pos="0">
                    <a:schemeClr val="accent5">
                      <a:lumMod val="60000"/>
                      <a:lumOff val="40000"/>
                    </a:schemeClr>
                  </a:gs>
                  <a:gs pos="55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50000"/>
                    </a:schemeClr>
                  </a:gs>
                </a:gsLst>
                <a:lin ang="16200000" scaled="1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22-4468-B338-66317598CC28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rgbClr val="F8F8F8"/>
                  </a:gs>
                  <a:gs pos="0">
                    <a:schemeClr val="bg2">
                      <a:lumMod val="75000"/>
                    </a:schemeClr>
                  </a:gs>
                  <a:gs pos="55000">
                    <a:schemeClr val="tx1">
                      <a:lumMod val="50000"/>
                      <a:lumOff val="50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16200000" scaled="1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22-4468-B338-66317598CC28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rgbClr val="A30909"/>
                  </a:gs>
                  <a:gs pos="0">
                    <a:srgbClr val="C10B0B"/>
                  </a:gs>
                  <a:gs pos="50000">
                    <a:srgbClr val="700606"/>
                  </a:gs>
                  <a:gs pos="100000">
                    <a:srgbClr val="570505"/>
                  </a:gs>
                </a:gsLst>
                <a:lin ang="16200000" scaled="1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22-4468-B338-66317598CC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(Indicadores!$O$3,Indicadores!$O$40,Indicadores!$O$115)</c:f>
              <c:strCache>
                <c:ptCount val="3"/>
                <c:pt idx="0">
                  <c:v>Escuela de Doctorado de Ciencias de la Salud</c:v>
                </c:pt>
                <c:pt idx="1">
                  <c:v>Escuela de Doctorado de Ciencias, Tecnologías e Ingenierías</c:v>
                </c:pt>
                <c:pt idx="2">
                  <c:v>Escuela de Doctorado de Humanidades y Ciencias Sociales y Jurídicas</c:v>
                </c:pt>
              </c:strCache>
            </c:strRef>
          </c:cat>
          <c:val>
            <c:numRef>
              <c:f>(Indicadores!$U$3,Indicadores!$U$40,Indicadores!$U$115)</c:f>
              <c:numCache>
                <c:formatCode>General</c:formatCode>
                <c:ptCount val="3"/>
                <c:pt idx="0">
                  <c:v>154</c:v>
                </c:pt>
                <c:pt idx="1">
                  <c:v>118</c:v>
                </c:pt>
                <c:pt idx="2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22-4468-B338-66317598CC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652777777777778"/>
          <c:y val="0.27806430446194225"/>
          <c:w val="0.39347222222222222"/>
          <c:h val="0.56826953922426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Número de </a:t>
            </a:r>
            <a:r>
              <a:rPr lang="es-ES" sz="1400" b="0" i="0" u="none" strike="noStrike" baseline="0">
                <a:effectLst/>
              </a:rPr>
              <a:t>alumnos por género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Indicadores!$V$2</c:f>
              <c:strCache>
                <c:ptCount val="1"/>
                <c:pt idx="0">
                  <c:v>Hombres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60000"/>
                    <a:lumOff val="40000"/>
                  </a:schemeClr>
                </a:gs>
                <a:gs pos="56000">
                  <a:schemeClr val="accent5">
                    <a:lumMod val="75000"/>
                  </a:schemeClr>
                </a:gs>
                <a:gs pos="100000">
                  <a:schemeClr val="accent5">
                    <a:lumMod val="50000"/>
                  </a:schemeClr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(Indicadores!$O$115,Indicadores!$O$40,Indicadores!$O$3)</c:f>
              <c:strCache>
                <c:ptCount val="3"/>
                <c:pt idx="0">
                  <c:v>Escuela de Doctorado de Humanidades y Ciencias Sociales y Jurídicas</c:v>
                </c:pt>
                <c:pt idx="1">
                  <c:v>Escuela de Doctorado de Ciencias, Tecnologías e Ingenierías</c:v>
                </c:pt>
                <c:pt idx="2">
                  <c:v>Escuela de Doctorado de Ciencias de la Salud</c:v>
                </c:pt>
              </c:strCache>
            </c:strRef>
          </c:cat>
          <c:val>
            <c:numRef>
              <c:f>(Indicadores!$V$115,Indicadores!$V$40,Indicadores!$V$3)</c:f>
              <c:numCache>
                <c:formatCode>General</c:formatCode>
                <c:ptCount val="3"/>
                <c:pt idx="0">
                  <c:v>94</c:v>
                </c:pt>
                <c:pt idx="1">
                  <c:v>68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0-4858-BA3D-CE15877B9978}"/>
            </c:ext>
          </c:extLst>
        </c:ser>
        <c:ser>
          <c:idx val="1"/>
          <c:order val="1"/>
          <c:tx>
            <c:strRef>
              <c:f>Indicadores!$W$2</c:f>
              <c:strCache>
                <c:ptCount val="1"/>
                <c:pt idx="0">
                  <c:v>Mujeres</c:v>
                </c:pt>
              </c:strCache>
            </c:strRef>
          </c:tx>
          <c:spPr>
            <a:gradFill>
              <a:gsLst>
                <a:gs pos="0">
                  <a:srgbClr val="C10B0B"/>
                </a:gs>
                <a:gs pos="38000">
                  <a:srgbClr val="8E0808"/>
                </a:gs>
                <a:gs pos="100000">
                  <a:srgbClr val="570505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(Indicadores!$O$115,Indicadores!$O$40,Indicadores!$O$3)</c:f>
              <c:strCache>
                <c:ptCount val="3"/>
                <c:pt idx="0">
                  <c:v>Escuela de Doctorado de Humanidades y Ciencias Sociales y Jurídicas</c:v>
                </c:pt>
                <c:pt idx="1">
                  <c:v>Escuela de Doctorado de Ciencias, Tecnologías e Ingenierías</c:v>
                </c:pt>
                <c:pt idx="2">
                  <c:v>Escuela de Doctorado de Ciencias de la Salud</c:v>
                </c:pt>
              </c:strCache>
            </c:strRef>
          </c:cat>
          <c:val>
            <c:numRef>
              <c:f>(Indicadores!$W$115,Indicadores!$W$40,Indicadores!$W$3)</c:f>
              <c:numCache>
                <c:formatCode>General</c:formatCode>
                <c:ptCount val="3"/>
                <c:pt idx="0">
                  <c:v>82</c:v>
                </c:pt>
                <c:pt idx="1">
                  <c:v>50</c:v>
                </c:pt>
                <c:pt idx="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50-4858-BA3D-CE15877B99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71308656"/>
        <c:axId val="1171311152"/>
      </c:barChart>
      <c:catAx>
        <c:axId val="1171308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71311152"/>
        <c:crosses val="autoZero"/>
        <c:auto val="1"/>
        <c:lblAlgn val="ctr"/>
        <c:lblOffset val="100"/>
        <c:noMultiLvlLbl val="0"/>
      </c:catAx>
      <c:valAx>
        <c:axId val="1171311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7130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</a:t>
            </a:r>
            <a:r>
              <a:rPr lang="es-ES" baseline="0"/>
              <a:t> de alumnos por curso y Escuela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2461157872507313E-2"/>
          <c:y val="0.13467592592592592"/>
          <c:w val="0.91345564563050308"/>
          <c:h val="0.52123323126275878"/>
        </c:manualLayout>
      </c:layout>
      <c:lineChart>
        <c:grouping val="standard"/>
        <c:varyColors val="0"/>
        <c:ser>
          <c:idx val="0"/>
          <c:order val="0"/>
          <c:tx>
            <c:strRef>
              <c:f>Indicadores!$O$3</c:f>
              <c:strCache>
                <c:ptCount val="1"/>
                <c:pt idx="0">
                  <c:v>Escuela de Doctorado de Ciencias de la Salud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>
                <a:outerShdw sx="1000" sy="1000" algn="ctr" rotWithShape="0">
                  <a:srgbClr val="000000"/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Indicadores!$X$3:$AB$3</c:f>
              <c:numCache>
                <c:formatCode>General</c:formatCode>
                <c:ptCount val="5"/>
                <c:pt idx="0">
                  <c:v>1</c:v>
                </c:pt>
                <c:pt idx="1">
                  <c:v>11</c:v>
                </c:pt>
                <c:pt idx="2">
                  <c:v>23</c:v>
                </c:pt>
                <c:pt idx="3">
                  <c:v>55</c:v>
                </c:pt>
                <c:pt idx="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91-41EE-B2CD-1C328EDF85F4}"/>
            </c:ext>
          </c:extLst>
        </c:ser>
        <c:ser>
          <c:idx val="1"/>
          <c:order val="1"/>
          <c:tx>
            <c:strRef>
              <c:f>Indicadores!$O$40</c:f>
              <c:strCache>
                <c:ptCount val="1"/>
                <c:pt idx="0">
                  <c:v>Escuela de Doctorado de Ciencias, Tecnologías e Ingenierías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Indicadores!$X$40:$AB$40</c:f>
              <c:numCache>
                <c:formatCode>General</c:formatCode>
                <c:ptCount val="5"/>
                <c:pt idx="0">
                  <c:v>0</c:v>
                </c:pt>
                <c:pt idx="1">
                  <c:v>8</c:v>
                </c:pt>
                <c:pt idx="2">
                  <c:v>15</c:v>
                </c:pt>
                <c:pt idx="3">
                  <c:v>38</c:v>
                </c:pt>
                <c:pt idx="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91-41EE-B2CD-1C328EDF85F4}"/>
            </c:ext>
          </c:extLst>
        </c:ser>
        <c:ser>
          <c:idx val="2"/>
          <c:order val="2"/>
          <c:tx>
            <c:strRef>
              <c:f>Indicadores!$O$115</c:f>
              <c:strCache>
                <c:ptCount val="1"/>
                <c:pt idx="0">
                  <c:v>Escuela de Doctorado de Humanidades y Ciencias Sociales y Jurídicas</c:v>
                </c:pt>
              </c:strCache>
            </c:strRef>
          </c:tx>
          <c:spPr>
            <a:ln w="28575" cap="rnd">
              <a:solidFill>
                <a:srgbClr val="8E0808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8E0808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Indicadores!$X$115:$AB$115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</c:v>
                </c:pt>
                <c:pt idx="3">
                  <c:v>83</c:v>
                </c:pt>
                <c:pt idx="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91-41EE-B2CD-1C328EDF85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44041888"/>
        <c:axId val="1244048128"/>
      </c:lineChart>
      <c:catAx>
        <c:axId val="124404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44048128"/>
        <c:crosses val="autoZero"/>
        <c:auto val="1"/>
        <c:lblAlgn val="ctr"/>
        <c:lblOffset val="100"/>
        <c:noMultiLvlLbl val="0"/>
      </c:catAx>
      <c:valAx>
        <c:axId val="124404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4404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Porcentaje de cotutelas por Escuela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pct50">
                <a:fgClr>
                  <a:schemeClr val="accent5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90-4623-9C5F-6A1D00703700}"/>
              </c:ext>
            </c:extLst>
          </c:dPt>
          <c:dPt>
            <c:idx val="1"/>
            <c:bubble3D val="0"/>
            <c:spPr>
              <a:pattFill prst="pct50">
                <a:fgClr>
                  <a:schemeClr val="bg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90-4623-9C5F-6A1D00703700}"/>
              </c:ext>
            </c:extLst>
          </c:dPt>
          <c:dPt>
            <c:idx val="2"/>
            <c:bubble3D val="0"/>
            <c:spPr>
              <a:pattFill prst="pct50">
                <a:fgClr>
                  <a:srgbClr val="C10B0B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190-4623-9C5F-6A1D00703700}"/>
              </c:ext>
            </c:extLst>
          </c:dPt>
          <c:dLbls>
            <c:spPr>
              <a:noFill/>
              <a:ln w="952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(Indicadores!$O$3,Indicadores!$O$40,Indicadores!$O$115)</c:f>
              <c:strCache>
                <c:ptCount val="3"/>
                <c:pt idx="0">
                  <c:v>Escuela de Doctorado de Ciencias de la Salud</c:v>
                </c:pt>
                <c:pt idx="1">
                  <c:v>Escuela de Doctorado de Ciencias, Tecnologías e Ingenierías</c:v>
                </c:pt>
                <c:pt idx="2">
                  <c:v>Escuela de Doctorado de Humanidades y Ciencias Sociales y Jurídicas</c:v>
                </c:pt>
              </c:strCache>
            </c:strRef>
          </c:cat>
          <c:val>
            <c:numRef>
              <c:f>(Indicadores!$AH$3,Indicadores!$AH$40,Indicadores!$AH$115)</c:f>
              <c:numCache>
                <c:formatCode>General</c:formatCode>
                <c:ptCount val="3"/>
                <c:pt idx="0">
                  <c:v>3</c:v>
                </c:pt>
                <c:pt idx="1">
                  <c:v>8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90-4623-9C5F-6A1D0070370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364720034995624"/>
          <c:y val="0.29679133858267714"/>
          <c:w val="0.29579724409448821"/>
          <c:h val="0.536463254593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" sz="1600"/>
              <a:t>Número</a:t>
            </a:r>
            <a:r>
              <a:rPr lang="es-ES" sz="1600" baseline="0"/>
              <a:t> alumnos y cotutelas por Escuela </a:t>
            </a:r>
            <a:endParaRPr lang="es-E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(Indicadores!$O$3,Indicadores!$O$40,Indicadores!$O$115)</c:f>
              <c:strCache>
                <c:ptCount val="3"/>
                <c:pt idx="0">
                  <c:v>Escuela de Doctorado de Ciencias de la Salud</c:v>
                </c:pt>
                <c:pt idx="1">
                  <c:v>Escuela de Doctorado de Ciencias, Tecnologías e Ingenierías</c:v>
                </c:pt>
                <c:pt idx="2">
                  <c:v>Escuela de Doctorado de Humanidades y Ciencias Sociales y Jurídicas</c:v>
                </c:pt>
              </c:strCache>
            </c:strRef>
          </c:cat>
          <c:val>
            <c:numRef>
              <c:f>(Indicadores!$U$3,Indicadores!$U$40,Indicadores!$U$115)</c:f>
              <c:numCache>
                <c:formatCode>General</c:formatCode>
                <c:ptCount val="3"/>
                <c:pt idx="0">
                  <c:v>154</c:v>
                </c:pt>
                <c:pt idx="1">
                  <c:v>118</c:v>
                </c:pt>
                <c:pt idx="2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A-4D5D-B2FD-08EE764A9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220640"/>
        <c:axId val="1070218144"/>
      </c:barChart>
      <c:lineChart>
        <c:grouping val="standard"/>
        <c:varyColors val="0"/>
        <c:ser>
          <c:idx val="1"/>
          <c:order val="1"/>
          <c:tx>
            <c:strRef>
              <c:f>Indicadores!$AH$1</c:f>
              <c:strCache>
                <c:ptCount val="1"/>
                <c:pt idx="0">
                  <c:v>Cotutelas</c:v>
                </c:pt>
              </c:strCache>
            </c:strRef>
          </c:tx>
          <c:spPr>
            <a:ln w="38100" cap="rnd">
              <a:solidFill>
                <a:schemeClr val="accent5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(Indicadores!$O$3,Indicadores!$O$40,Indicadores!$O$115)</c:f>
              <c:strCache>
                <c:ptCount val="3"/>
                <c:pt idx="0">
                  <c:v>Escuela de Doctorado de Ciencias de la Salud</c:v>
                </c:pt>
                <c:pt idx="1">
                  <c:v>Escuela de Doctorado de Ciencias, Tecnologías e Ingenierías</c:v>
                </c:pt>
                <c:pt idx="2">
                  <c:v>Escuela de Doctorado de Humanidades y Ciencias Sociales y Jurídicas</c:v>
                </c:pt>
              </c:strCache>
            </c:strRef>
          </c:cat>
          <c:val>
            <c:numRef>
              <c:f>(Indicadores!$AH$3,Indicadores!$AH$40,Indicadores!$AH$115)</c:f>
              <c:numCache>
                <c:formatCode>General</c:formatCode>
                <c:ptCount val="3"/>
                <c:pt idx="0">
                  <c:v>3</c:v>
                </c:pt>
                <c:pt idx="1">
                  <c:v>8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2A-4D5D-B2FD-08EE764A9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220640"/>
        <c:axId val="1070218144"/>
      </c:lineChart>
      <c:catAx>
        <c:axId val="107022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70218144"/>
        <c:crosses val="autoZero"/>
        <c:auto val="1"/>
        <c:lblAlgn val="ctr"/>
        <c:lblOffset val="100"/>
        <c:noMultiLvlLbl val="0"/>
      </c:catAx>
      <c:valAx>
        <c:axId val="107021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7022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Menciones internacionales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Indicadores!$O$115</c:f>
              <c:strCache>
                <c:ptCount val="1"/>
                <c:pt idx="0">
                  <c:v>Escuela de Doctorado de Humanidades y Ciencias Sociales y Jurídicas</c:v>
                </c:pt>
              </c:strCache>
            </c:strRef>
          </c:tx>
          <c:spPr>
            <a:gradFill flip="none" rotWithShape="1">
              <a:gsLst>
                <a:gs pos="0">
                  <a:srgbClr val="FFABAB"/>
                </a:gs>
                <a:gs pos="46000">
                  <a:srgbClr val="C10B0B"/>
                </a:gs>
                <a:gs pos="100000">
                  <a:srgbClr val="570505"/>
                </a:gs>
              </a:gsLst>
              <a:path path="circle">
                <a:fillToRect r="100000" b="100000"/>
              </a:path>
              <a:tileRect l="-100000" t="-10000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Indicadores!$AM$1</c:f>
              <c:strCache>
                <c:ptCount val="1"/>
                <c:pt idx="0">
                  <c:v>Mención Internacional</c:v>
                </c:pt>
              </c:strCache>
            </c:strRef>
          </c:cat>
          <c:val>
            <c:numRef>
              <c:f>Indicadores!$AM$115</c:f>
              <c:numCache>
                <c:formatCode>General</c:formatCode>
                <c:ptCount val="1"/>
                <c:pt idx="0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1-4798-8EB9-67FA62E0D67D}"/>
            </c:ext>
          </c:extLst>
        </c:ser>
        <c:ser>
          <c:idx val="1"/>
          <c:order val="1"/>
          <c:tx>
            <c:strRef>
              <c:f>Indicadores!$O$40</c:f>
              <c:strCache>
                <c:ptCount val="1"/>
                <c:pt idx="0">
                  <c:v>Escuela de Doctorado de Ciencias, Tecnologías e Ingenierías</c:v>
                </c:pt>
              </c:strCache>
            </c:strRef>
          </c:tx>
          <c:spPr>
            <a:gradFill>
              <a:gsLst>
                <a:gs pos="0">
                  <a:schemeClr val="bg2">
                    <a:lumMod val="75000"/>
                  </a:schemeClr>
                </a:gs>
                <a:gs pos="54000">
                  <a:schemeClr val="bg2">
                    <a:lumMod val="50000"/>
                  </a:schemeClr>
                </a:gs>
                <a:gs pos="100000">
                  <a:schemeClr val="bg2">
                    <a:lumMod val="50000"/>
                  </a:schemeClr>
                </a:gs>
              </a:gsLst>
              <a:lin ang="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Indicadores!$AM$1</c:f>
              <c:strCache>
                <c:ptCount val="1"/>
                <c:pt idx="0">
                  <c:v>Mención Internacional</c:v>
                </c:pt>
              </c:strCache>
            </c:strRef>
          </c:cat>
          <c:val>
            <c:numRef>
              <c:f>Indicadores!$AM$40</c:f>
              <c:numCache>
                <c:formatCode>General</c:formatCode>
                <c:ptCount val="1"/>
                <c:pt idx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91-4798-8EB9-67FA62E0D67D}"/>
            </c:ext>
          </c:extLst>
        </c:ser>
        <c:ser>
          <c:idx val="2"/>
          <c:order val="2"/>
          <c:tx>
            <c:strRef>
              <c:f>Indicadores!$O$3</c:f>
              <c:strCache>
                <c:ptCount val="1"/>
                <c:pt idx="0">
                  <c:v>Escuela de Doctorado de Ciencias de la Salud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08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Indicadores!$AM$1</c:f>
              <c:strCache>
                <c:ptCount val="1"/>
                <c:pt idx="0">
                  <c:v>Mención Internacional</c:v>
                </c:pt>
              </c:strCache>
            </c:strRef>
          </c:cat>
          <c:val>
            <c:numRef>
              <c:f>Indicadores!$AM$3</c:f>
              <c:numCache>
                <c:formatCode>General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91-4798-8EB9-67FA62E0D6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96877456"/>
        <c:axId val="746790000"/>
      </c:barChart>
      <c:catAx>
        <c:axId val="1296877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6790000"/>
        <c:crosses val="autoZero"/>
        <c:auto val="1"/>
        <c:lblAlgn val="ctr"/>
        <c:lblOffset val="100"/>
        <c:noMultiLvlLbl val="0"/>
      </c:catAx>
      <c:valAx>
        <c:axId val="7467900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9687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Total alumnos por curso académico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 cmpd="sng" algn="ctr">
              <a:solidFill>
                <a:srgbClr val="A30909"/>
              </a:solidFill>
              <a:round/>
            </a:ln>
            <a:effectLst/>
          </c:spPr>
          <c:marker>
            <c:symbol val="circle"/>
            <c:size val="12"/>
            <c:spPr>
              <a:solidFill>
                <a:schemeClr val="bg1"/>
              </a:solidFill>
              <a:ln w="19050" cap="flat" cmpd="sng" algn="ctr">
                <a:solidFill>
                  <a:srgbClr val="A30909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Indicadores!$X$181:$AB$181</c:f>
              <c:numCache>
                <c:formatCode>General</c:formatCode>
                <c:ptCount val="5"/>
                <c:pt idx="0">
                  <c:v>1</c:v>
                </c:pt>
                <c:pt idx="1">
                  <c:v>19</c:v>
                </c:pt>
                <c:pt idx="2">
                  <c:v>54</c:v>
                </c:pt>
                <c:pt idx="3">
                  <c:v>176</c:v>
                </c:pt>
                <c:pt idx="4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F2-4229-B8B5-ADAFCFB9C3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293684944"/>
        <c:axId val="1293687856"/>
      </c:lineChart>
      <c:catAx>
        <c:axId val="129368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93687856"/>
        <c:crosses val="autoZero"/>
        <c:auto val="1"/>
        <c:lblAlgn val="ctr"/>
        <c:lblOffset val="100"/>
        <c:noMultiLvlLbl val="0"/>
      </c:catAx>
      <c:valAx>
        <c:axId val="1293687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9368494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Tesis</a:t>
            </a:r>
            <a:r>
              <a:rPr lang="es-ES" sz="1400" baseline="0"/>
              <a:t> publicadas en Digibug, TESEO y Dialnet</a:t>
            </a:r>
            <a:endParaRPr lang="es-E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Indicadores!$AQ$1</c:f>
              <c:strCache>
                <c:ptCount val="1"/>
                <c:pt idx="0">
                  <c:v>Tesis en Digibug</c:v>
                </c:pt>
              </c:strCache>
            </c:strRef>
          </c:tx>
          <c:spPr>
            <a:gradFill>
              <a:gsLst>
                <a:gs pos="0">
                  <a:srgbClr val="C10B0B"/>
                </a:gs>
                <a:gs pos="38000">
                  <a:srgbClr val="8E0808"/>
                </a:gs>
                <a:gs pos="100000">
                  <a:srgbClr val="570505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(Indicadores!$O$3,Indicadores!$O$40,Indicadores!$O$115)</c:f>
              <c:strCache>
                <c:ptCount val="3"/>
                <c:pt idx="0">
                  <c:v>Escuela de Doctorado de Ciencias de la Salud</c:v>
                </c:pt>
                <c:pt idx="1">
                  <c:v>Escuela de Doctorado de Ciencias, Tecnologías e Ingenierías</c:v>
                </c:pt>
                <c:pt idx="2">
                  <c:v>Escuela de Doctorado de Humanidades y Ciencias Sociales y Jurídicas</c:v>
                </c:pt>
              </c:strCache>
            </c:strRef>
          </c:cat>
          <c:val>
            <c:numRef>
              <c:f>(Indicadores!$AQ$3,Indicadores!$AQ$40,Indicadores!$AQ$115)</c:f>
              <c:numCache>
                <c:formatCode>General</c:formatCode>
                <c:ptCount val="3"/>
                <c:pt idx="0">
                  <c:v>140</c:v>
                </c:pt>
                <c:pt idx="1">
                  <c:v>99</c:v>
                </c:pt>
                <c:pt idx="2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5-485C-AFD2-0A0AD12BBC59}"/>
            </c:ext>
          </c:extLst>
        </c:ser>
        <c:ser>
          <c:idx val="1"/>
          <c:order val="1"/>
          <c:tx>
            <c:strRef>
              <c:f>Indicadores!$AR$1</c:f>
              <c:strCache>
                <c:ptCount val="1"/>
                <c:pt idx="0">
                  <c:v>Tesis en TESEO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60000"/>
                    <a:lumOff val="40000"/>
                  </a:schemeClr>
                </a:gs>
                <a:gs pos="34000">
                  <a:schemeClr val="accent5">
                    <a:lumMod val="75000"/>
                  </a:schemeClr>
                </a:gs>
                <a:gs pos="100000">
                  <a:schemeClr val="accent5">
                    <a:lumMod val="50000"/>
                  </a:schemeClr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(Indicadores!$O$3,Indicadores!$O$40,Indicadores!$O$115)</c:f>
              <c:strCache>
                <c:ptCount val="3"/>
                <c:pt idx="0">
                  <c:v>Escuela de Doctorado de Ciencias de la Salud</c:v>
                </c:pt>
                <c:pt idx="1">
                  <c:v>Escuela de Doctorado de Ciencias, Tecnologías e Ingenierías</c:v>
                </c:pt>
                <c:pt idx="2">
                  <c:v>Escuela de Doctorado de Humanidades y Ciencias Sociales y Jurídicas</c:v>
                </c:pt>
              </c:strCache>
            </c:strRef>
          </c:cat>
          <c:val>
            <c:numRef>
              <c:f>(Indicadores!$AR$3,Indicadores!$AR$40,Indicadores!$AR$115)</c:f>
              <c:numCache>
                <c:formatCode>General</c:formatCode>
                <c:ptCount val="3"/>
                <c:pt idx="0">
                  <c:v>63</c:v>
                </c:pt>
                <c:pt idx="1">
                  <c:v>53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15-485C-AFD2-0A0AD12BBC59}"/>
            </c:ext>
          </c:extLst>
        </c:ser>
        <c:ser>
          <c:idx val="2"/>
          <c:order val="2"/>
          <c:tx>
            <c:strRef>
              <c:f>Indicadores!$AS$1</c:f>
              <c:strCache>
                <c:ptCount val="1"/>
                <c:pt idx="0">
                  <c:v>Tesis en Dialnet</c:v>
                </c:pt>
              </c:strCache>
            </c:strRef>
          </c:tx>
          <c:spPr>
            <a:gradFill>
              <a:gsLst>
                <a:gs pos="0">
                  <a:schemeClr val="bg2">
                    <a:lumMod val="75000"/>
                  </a:schemeClr>
                </a:gs>
                <a:gs pos="54000">
                  <a:schemeClr val="bg2">
                    <a:lumMod val="50000"/>
                  </a:schemeClr>
                </a:gs>
                <a:gs pos="100000">
                  <a:schemeClr val="tx1">
                    <a:lumMod val="65000"/>
                    <a:lumOff val="35000"/>
                  </a:schemeClr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(Indicadores!$O$3,Indicadores!$O$40,Indicadores!$O$115)</c:f>
              <c:strCache>
                <c:ptCount val="3"/>
                <c:pt idx="0">
                  <c:v>Escuela de Doctorado de Ciencias de la Salud</c:v>
                </c:pt>
                <c:pt idx="1">
                  <c:v>Escuela de Doctorado de Ciencias, Tecnologías e Ingenierías</c:v>
                </c:pt>
                <c:pt idx="2">
                  <c:v>Escuela de Doctorado de Humanidades y Ciencias Sociales y Jurídicas</c:v>
                </c:pt>
              </c:strCache>
            </c:strRef>
          </c:cat>
          <c:val>
            <c:numRef>
              <c:f>(Indicadores!$AS$3,Indicadores!$AS$40,Indicadores!$AS$115)</c:f>
              <c:numCache>
                <c:formatCode>General</c:formatCode>
                <c:ptCount val="3"/>
                <c:pt idx="0">
                  <c:v>142</c:v>
                </c:pt>
                <c:pt idx="1">
                  <c:v>110</c:v>
                </c:pt>
                <c:pt idx="2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15-485C-AFD2-0A0AD12BBC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41569120"/>
        <c:axId val="1241569536"/>
      </c:barChart>
      <c:catAx>
        <c:axId val="124156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41569536"/>
        <c:crosses val="autoZero"/>
        <c:auto val="1"/>
        <c:lblAlgn val="ctr"/>
        <c:lblOffset val="100"/>
        <c:noMultiLvlLbl val="0"/>
      </c:catAx>
      <c:valAx>
        <c:axId val="12415695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4156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Porcentaje de publicaciones por Escuela de Doctorado</a:t>
            </a:r>
            <a:endParaRPr lang="es-E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flip="none" rotWithShape="1">
                <a:gsLst>
                  <a:gs pos="0">
                    <a:schemeClr val="accent5">
                      <a:lumMod val="60000"/>
                      <a:lumOff val="40000"/>
                    </a:schemeClr>
                  </a:gs>
                  <a:gs pos="56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50000"/>
                    </a:schemeClr>
                  </a:gs>
                </a:gsLst>
                <a:lin ang="16200000" scaled="1"/>
                <a:tileRect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62-42BE-ABA9-3B229ECD43E8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chemeClr val="accent3">
                      <a:lumMod val="67000"/>
                    </a:schemeClr>
                  </a:gs>
                  <a:gs pos="56000">
                    <a:schemeClr val="accent3">
                      <a:lumMod val="97000"/>
                      <a:lumOff val="3000"/>
                    </a:schemeClr>
                  </a:gs>
                  <a:gs pos="100000">
                    <a:schemeClr val="accent3">
                      <a:lumMod val="60000"/>
                      <a:lumOff val="40000"/>
                    </a:schemeClr>
                  </a:gs>
                </a:gsLst>
                <a:lin ang="5400000" scaled="1"/>
                <a:tileRect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62-42BE-ABA9-3B229ECD43E8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rgbClr val="A30909"/>
                  </a:gs>
                  <a:gs pos="0">
                    <a:srgbClr val="C10B0B"/>
                  </a:gs>
                  <a:gs pos="50000">
                    <a:srgbClr val="700606"/>
                  </a:gs>
                  <a:gs pos="100000">
                    <a:srgbClr val="570505"/>
                  </a:gs>
                </a:gsLst>
                <a:lin ang="16200000" scaled="1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462-42BE-ABA9-3B229ECD43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(Indicadores!$O$3,Indicadores!$O$40,Indicadores!$O$115)</c:f>
              <c:strCache>
                <c:ptCount val="3"/>
                <c:pt idx="0">
                  <c:v>Escuela de Doctorado de Ciencias de la Salud</c:v>
                </c:pt>
                <c:pt idx="1">
                  <c:v>Escuela de Doctorado de Ciencias, Tecnologías e Ingenierías</c:v>
                </c:pt>
                <c:pt idx="2">
                  <c:v>Escuela de Doctorado de Humanidades y Ciencias Sociales y Jurídicas</c:v>
                </c:pt>
              </c:strCache>
            </c:strRef>
          </c:cat>
          <c:val>
            <c:numRef>
              <c:f>(Indicadores!$AT$3,Indicadores!$AT$40,Indicadores!$AT$115)</c:f>
              <c:numCache>
                <c:formatCode>General</c:formatCode>
                <c:ptCount val="3"/>
                <c:pt idx="0">
                  <c:v>1492</c:v>
                </c:pt>
                <c:pt idx="1">
                  <c:v>925</c:v>
                </c:pt>
                <c:pt idx="2">
                  <c:v>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62-42BE-ABA9-3B229ECD43E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Número de publicaciones</a:t>
            </a:r>
            <a:r>
              <a:rPr lang="es-ES" baseline="0"/>
              <a:t> por </a:t>
            </a:r>
            <a:r>
              <a:rPr lang="es-ES"/>
              <a:t>género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Indicadores!$AU$2</c:f>
              <c:strCache>
                <c:ptCount val="1"/>
                <c:pt idx="0">
                  <c:v>Hombres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60000"/>
                    <a:lumOff val="40000"/>
                  </a:schemeClr>
                </a:gs>
                <a:gs pos="56000">
                  <a:schemeClr val="accent5">
                    <a:lumMod val="75000"/>
                  </a:schemeClr>
                </a:gs>
                <a:gs pos="100000">
                  <a:schemeClr val="accent5">
                    <a:lumMod val="50000"/>
                  </a:schemeClr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(Indicadores!$O$115,Indicadores!$O$40,Indicadores!$O$3)</c:f>
              <c:strCache>
                <c:ptCount val="3"/>
                <c:pt idx="0">
                  <c:v>Escuela de Doctorado de Humanidades y Ciencias Sociales y Jurídicas</c:v>
                </c:pt>
                <c:pt idx="1">
                  <c:v>Escuela de Doctorado de Ciencias, Tecnologías e Ingenierías</c:v>
                </c:pt>
                <c:pt idx="2">
                  <c:v>Escuela de Doctorado de Ciencias de la Salud</c:v>
                </c:pt>
              </c:strCache>
            </c:strRef>
          </c:cat>
          <c:val>
            <c:numRef>
              <c:f>(Indicadores!$AU$115,Indicadores!$AU$40,Indicadores!$AU$3)</c:f>
              <c:numCache>
                <c:formatCode>General</c:formatCode>
                <c:ptCount val="3"/>
                <c:pt idx="0">
                  <c:v>566</c:v>
                </c:pt>
                <c:pt idx="1">
                  <c:v>542</c:v>
                </c:pt>
                <c:pt idx="2">
                  <c:v>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1-4462-B992-2294BF8ADE91}"/>
            </c:ext>
          </c:extLst>
        </c:ser>
        <c:ser>
          <c:idx val="1"/>
          <c:order val="1"/>
          <c:tx>
            <c:strRef>
              <c:f>Indicadores!$AV$2</c:f>
              <c:strCache>
                <c:ptCount val="1"/>
                <c:pt idx="0">
                  <c:v>Mujeres</c:v>
                </c:pt>
              </c:strCache>
            </c:strRef>
          </c:tx>
          <c:spPr>
            <a:gradFill>
              <a:gsLst>
                <a:gs pos="0">
                  <a:srgbClr val="C10B0B"/>
                </a:gs>
                <a:gs pos="38000">
                  <a:srgbClr val="8E0808"/>
                </a:gs>
                <a:gs pos="100000">
                  <a:srgbClr val="570505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(Indicadores!$O$115,Indicadores!$O$40,Indicadores!$O$3)</c:f>
              <c:strCache>
                <c:ptCount val="3"/>
                <c:pt idx="0">
                  <c:v>Escuela de Doctorado de Humanidades y Ciencias Sociales y Jurídicas</c:v>
                </c:pt>
                <c:pt idx="1">
                  <c:v>Escuela de Doctorado de Ciencias, Tecnologías e Ingenierías</c:v>
                </c:pt>
                <c:pt idx="2">
                  <c:v>Escuela de Doctorado de Ciencias de la Salud</c:v>
                </c:pt>
              </c:strCache>
            </c:strRef>
          </c:cat>
          <c:val>
            <c:numRef>
              <c:f>(Indicadores!$AV$115,Indicadores!$AV$40,Indicadores!$AV$3)</c:f>
              <c:numCache>
                <c:formatCode>General</c:formatCode>
                <c:ptCount val="3"/>
                <c:pt idx="0">
                  <c:v>210</c:v>
                </c:pt>
                <c:pt idx="1">
                  <c:v>383</c:v>
                </c:pt>
                <c:pt idx="2">
                  <c:v>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51-4462-B992-2294BF8AD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60335776"/>
        <c:axId val="1360327872"/>
      </c:barChart>
      <c:catAx>
        <c:axId val="136033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60327872"/>
        <c:crosses val="autoZero"/>
        <c:auto val="1"/>
        <c:lblAlgn val="ctr"/>
        <c:lblOffset val="100"/>
        <c:noMultiLvlLbl val="0"/>
      </c:catAx>
      <c:valAx>
        <c:axId val="13603278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6033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publicaciones por curso</a:t>
            </a:r>
            <a:r>
              <a:rPr lang="es-ES" baseline="0"/>
              <a:t> y E</a:t>
            </a:r>
            <a:r>
              <a:rPr lang="es-ES"/>
              <a:t>scuela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Indicadores!$O$3</c:f>
              <c:strCache>
                <c:ptCount val="1"/>
                <c:pt idx="0">
                  <c:v>Escuela de Doctorado de Ciencias de la Salud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(Indicadores!$AW$2,Indicadores!$AX$2,Indicadores!$AY$2,Indicadores!$AZ$2,Indicadores!$BA$2)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Indicadores!$AW$3:$BA$3</c:f>
              <c:numCache>
                <c:formatCode>General</c:formatCode>
                <c:ptCount val="5"/>
                <c:pt idx="0">
                  <c:v>10</c:v>
                </c:pt>
                <c:pt idx="1">
                  <c:v>83</c:v>
                </c:pt>
                <c:pt idx="2">
                  <c:v>343</c:v>
                </c:pt>
                <c:pt idx="3">
                  <c:v>454</c:v>
                </c:pt>
                <c:pt idx="4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EE-4A45-B8B0-ACF2698F775D}"/>
            </c:ext>
          </c:extLst>
        </c:ser>
        <c:ser>
          <c:idx val="1"/>
          <c:order val="1"/>
          <c:tx>
            <c:strRef>
              <c:f>Indicadores!$O$40</c:f>
              <c:strCache>
                <c:ptCount val="1"/>
                <c:pt idx="0">
                  <c:v>Escuela de Doctorado de Ciencias, Tecnologías e Ingenierías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(Indicadores!$AW$2,Indicadores!$AX$2,Indicadores!$AY$2,Indicadores!$AZ$2,Indicadores!$BA$2)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Indicadores!$AW$40:$BA$40</c:f>
              <c:numCache>
                <c:formatCode>General</c:formatCode>
                <c:ptCount val="5"/>
                <c:pt idx="0">
                  <c:v>0</c:v>
                </c:pt>
                <c:pt idx="1">
                  <c:v>82</c:v>
                </c:pt>
                <c:pt idx="2">
                  <c:v>163</c:v>
                </c:pt>
                <c:pt idx="3">
                  <c:v>287</c:v>
                </c:pt>
                <c:pt idx="4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EE-4A45-B8B0-ACF2698F775D}"/>
            </c:ext>
          </c:extLst>
        </c:ser>
        <c:ser>
          <c:idx val="2"/>
          <c:order val="2"/>
          <c:tx>
            <c:strRef>
              <c:f>Indicadores!$O$115</c:f>
              <c:strCache>
                <c:ptCount val="1"/>
                <c:pt idx="0">
                  <c:v>Escuela de Doctorado de Humanidades y Ciencias Sociales y Jurídicas</c:v>
                </c:pt>
              </c:strCache>
            </c:strRef>
          </c:tx>
          <c:spPr>
            <a:ln w="28575" cap="rnd">
              <a:solidFill>
                <a:srgbClr val="8E0808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8E0808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(Indicadores!$AW$2,Indicadores!$AX$2,Indicadores!$AY$2,Indicadores!$AZ$2,Indicadores!$BA$2)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Indicadores!$AW$115:$BA$115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152</c:v>
                </c:pt>
                <c:pt idx="3">
                  <c:v>327</c:v>
                </c:pt>
                <c:pt idx="4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EE-4A45-B8B0-ACF2698F775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0325792"/>
        <c:axId val="1360324544"/>
      </c:lineChart>
      <c:catAx>
        <c:axId val="136032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60324544"/>
        <c:crosses val="autoZero"/>
        <c:auto val="1"/>
        <c:lblAlgn val="ctr"/>
        <c:lblOffset val="100"/>
        <c:noMultiLvlLbl val="0"/>
      </c:catAx>
      <c:valAx>
        <c:axId val="136032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6032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Promedio de publicaciones por alumno/Escuela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562554680664917E-2"/>
          <c:y val="0.17171296296296298"/>
          <c:w val="0.90098600174978127"/>
          <c:h val="0.4656776757072032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Indicadores!$O$115</c:f>
              <c:strCache>
                <c:ptCount val="1"/>
                <c:pt idx="0">
                  <c:v>Escuela de Doctorado de Humanidades y Ciencias Sociales y Jurídicas</c:v>
                </c:pt>
              </c:strCache>
            </c:strRef>
          </c:tx>
          <c:spPr>
            <a:solidFill>
              <a:srgbClr val="8E0808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2222222222222223E-2"/>
                  <c:y val="4.6296296296296294E-3"/>
                </c:manualLayout>
              </c:layout>
              <c:tx>
                <c:rich>
                  <a:bodyPr/>
                  <a:lstStyle/>
                  <a:p>
                    <a:fld id="{2B6D3B92-2F8B-460E-8842-E70E7BC9E0CF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A7F-4608-871C-05AE54D779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Indicadores!$BG$115</c:f>
              <c:numCache>
                <c:formatCode>0.0</c:formatCode>
                <c:ptCount val="1"/>
                <c:pt idx="0">
                  <c:v>4.4090909090909092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Indicadores!$BG$115</c15:f>
                <c15:dlblRangeCache>
                  <c:ptCount val="1"/>
                  <c:pt idx="0">
                    <c:v>4,4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882-49EF-A3B4-89E094D456BD}"/>
            </c:ext>
          </c:extLst>
        </c:ser>
        <c:ser>
          <c:idx val="1"/>
          <c:order val="1"/>
          <c:tx>
            <c:strRef>
              <c:f>Indicadores!$O$40</c:f>
              <c:strCache>
                <c:ptCount val="1"/>
                <c:pt idx="0">
                  <c:v>Escuela de Doctorado de Ciencias, Tecnologías e Ingenierías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50000000000000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F56-4FF1-BEE0-68BAF3AE62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Indicadores!$BG$40</c:f>
              <c:numCache>
                <c:formatCode>0.0</c:formatCode>
                <c:ptCount val="1"/>
                <c:pt idx="0">
                  <c:v>7.8389830508474576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82-49EF-A3B4-89E094D456BD}"/>
            </c:ext>
          </c:extLst>
        </c:ser>
        <c:ser>
          <c:idx val="2"/>
          <c:order val="2"/>
          <c:tx>
            <c:strRef>
              <c:f>Indicadores!$O$3</c:f>
              <c:strCache>
                <c:ptCount val="1"/>
                <c:pt idx="0">
                  <c:v>Escuela de Doctorado de Ciencias de la Salud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4999999999999897E-2"/>
                  <c:y val="2.7777777777777735E-2"/>
                </c:manualLayout>
              </c:layout>
              <c:tx>
                <c:rich>
                  <a:bodyPr/>
                  <a:lstStyle/>
                  <a:p>
                    <a:fld id="{AA176AF1-7040-4FD3-B8D4-5DCED148E06C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A7F-4608-871C-05AE54D779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Indicadores!$BG$3</c:f>
              <c:numCache>
                <c:formatCode>0.0</c:formatCode>
                <c:ptCount val="1"/>
                <c:pt idx="0">
                  <c:v>9.6883116883116891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Indicadores!$BG$3</c15:f>
                <c15:dlblRangeCache>
                  <c:ptCount val="1"/>
                  <c:pt idx="0">
                    <c:v>9,7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A882-49EF-A3B4-89E094D456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60301888"/>
        <c:axId val="1160302304"/>
        <c:axId val="0"/>
      </c:bar3DChart>
      <c:catAx>
        <c:axId val="116030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60302304"/>
        <c:crosses val="autoZero"/>
        <c:auto val="1"/>
        <c:lblAlgn val="ctr"/>
        <c:lblOffset val="100"/>
        <c:noMultiLvlLbl val="0"/>
      </c:catAx>
      <c:valAx>
        <c:axId val="1160302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030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Promedio de publicaciones por Escuela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Indicadores!$O$115</c:f>
              <c:strCache>
                <c:ptCount val="1"/>
                <c:pt idx="0">
                  <c:v>Escuela de Doctorado de Humanidades y Ciencias Sociales y Jurídicas</c:v>
                </c:pt>
              </c:strCache>
            </c:strRef>
          </c:tx>
          <c:spPr>
            <a:solidFill>
              <a:srgbClr val="8E0808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8E0808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CAE5-45B3-A47A-2FC4C47866C7}"/>
              </c:ext>
            </c:extLst>
          </c:dPt>
          <c:dLbls>
            <c:dLbl>
              <c:idx val="0"/>
              <c:layout>
                <c:manualLayout>
                  <c:x val="1.6666666666666614E-2"/>
                  <c:y val="-8.4875562720133283E-17"/>
                </c:manualLayout>
              </c:layout>
              <c:tx>
                <c:rich>
                  <a:bodyPr/>
                  <a:lstStyle/>
                  <a:p>
                    <a:fld id="{BAC51770-B4B8-469B-8D35-DD770B8C39D7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AE5-45B3-A47A-2FC4C47866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Indicadores!$BM$115</c:f>
              <c:numCache>
                <c:formatCode>0.0</c:formatCode>
                <c:ptCount val="1"/>
                <c:pt idx="0">
                  <c:v>82.714285714285708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(Indicadores!$BM$115,Indicadores!$BM$40,Indicadores!$BM$3)</c15:f>
                <c15:dlblRangeCache>
                  <c:ptCount val="3"/>
                  <c:pt idx="0">
                    <c:v>82,7</c:v>
                  </c:pt>
                  <c:pt idx="1">
                    <c:v>92,5</c:v>
                  </c:pt>
                  <c:pt idx="2">
                    <c:v>248,7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3D6B-40C3-812A-270E4E9DE82F}"/>
            </c:ext>
          </c:extLst>
        </c:ser>
        <c:ser>
          <c:idx val="1"/>
          <c:order val="1"/>
          <c:tx>
            <c:strRef>
              <c:f>Indicadores!$O$40</c:f>
              <c:strCache>
                <c:ptCount val="1"/>
                <c:pt idx="0">
                  <c:v>Escuela de Doctorado de Ciencias, Tecnologías e Ingenierías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4444444444444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AEB-4413-8EF1-CF3DDD369E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Indicadores!$BM$40</c:f>
              <c:numCache>
                <c:formatCode>0.0</c:formatCode>
                <c:ptCount val="1"/>
                <c:pt idx="0">
                  <c:v>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6B-40C3-812A-270E4E9DE82F}"/>
            </c:ext>
          </c:extLst>
        </c:ser>
        <c:ser>
          <c:idx val="2"/>
          <c:order val="2"/>
          <c:tx>
            <c:strRef>
              <c:f>Indicadores!$O$3</c:f>
              <c:strCache>
                <c:ptCount val="1"/>
                <c:pt idx="0">
                  <c:v>Escuela de Doctorado de Ciencias de la Salud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2222222222222223E-2"/>
                  <c:y val="4.1666666666666623E-2"/>
                </c:manualLayout>
              </c:layout>
              <c:tx>
                <c:rich>
                  <a:bodyPr/>
                  <a:lstStyle/>
                  <a:p>
                    <a:fld id="{770543D6-0FDD-43E5-9DBC-E34F7F130C02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D6B-40C3-812A-270E4E9DE8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Indicadores!$BM$3</c:f>
              <c:numCache>
                <c:formatCode>0.0</c:formatCode>
                <c:ptCount val="1"/>
                <c:pt idx="0">
                  <c:v>248.66666666666666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Indicadores!$BM$3</c15:f>
                <c15:dlblRangeCache>
                  <c:ptCount val="1"/>
                  <c:pt idx="0">
                    <c:v>248,7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3D6B-40C3-812A-270E4E9DE8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43986944"/>
        <c:axId val="1243987360"/>
        <c:axId val="0"/>
      </c:bar3DChart>
      <c:catAx>
        <c:axId val="124398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43987360"/>
        <c:crosses val="autoZero"/>
        <c:auto val="1"/>
        <c:lblAlgn val="ctr"/>
        <c:lblOffset val="100"/>
        <c:noMultiLvlLbl val="0"/>
      </c:catAx>
      <c:valAx>
        <c:axId val="124398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4398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Alumnos vinculados a la UGR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Indicadores!$O$115</c:f>
              <c:strCache>
                <c:ptCount val="1"/>
                <c:pt idx="0">
                  <c:v>Escuela de Doctorado de Humanidades y Ciencias Sociales y Jurídicas</c:v>
                </c:pt>
              </c:strCache>
            </c:strRef>
          </c:tx>
          <c:spPr>
            <a:gradFill flip="none" rotWithShape="1">
              <a:gsLst>
                <a:gs pos="0">
                  <a:srgbClr val="FFABAB"/>
                </a:gs>
                <a:gs pos="46000">
                  <a:srgbClr val="C10B0B"/>
                </a:gs>
                <a:gs pos="100000">
                  <a:srgbClr val="570505"/>
                </a:gs>
              </a:gsLst>
              <a:path path="circle">
                <a:fillToRect r="100000" b="100000"/>
              </a:path>
              <a:tileRect l="-100000" t="-10000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Indicadores!$AL$1</c:f>
              <c:strCache>
                <c:ptCount val="1"/>
                <c:pt idx="0">
                  <c:v>Vinculación UGR</c:v>
                </c:pt>
              </c:strCache>
            </c:strRef>
          </c:cat>
          <c:val>
            <c:numRef>
              <c:f>Indicadores!$AL$115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D3-4842-8741-99EB391135BB}"/>
            </c:ext>
          </c:extLst>
        </c:ser>
        <c:ser>
          <c:idx val="1"/>
          <c:order val="1"/>
          <c:tx>
            <c:strRef>
              <c:f>Indicadores!$O$40</c:f>
              <c:strCache>
                <c:ptCount val="1"/>
                <c:pt idx="0">
                  <c:v>Escuela de Doctorado de Ciencias, Tecnologías e Ingenierías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74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08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Indicadores!$AL$1</c:f>
              <c:strCache>
                <c:ptCount val="1"/>
                <c:pt idx="0">
                  <c:v>Vinculación UGR</c:v>
                </c:pt>
              </c:strCache>
            </c:strRef>
          </c:cat>
          <c:val>
            <c:numRef>
              <c:f>Indicadores!$AL$40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D3-4842-8741-99EB391135BB}"/>
            </c:ext>
          </c:extLst>
        </c:ser>
        <c:ser>
          <c:idx val="2"/>
          <c:order val="2"/>
          <c:tx>
            <c:strRef>
              <c:f>Indicadores!$O$3</c:f>
              <c:strCache>
                <c:ptCount val="1"/>
                <c:pt idx="0">
                  <c:v>Escuela de Doctorado de Ciencias de la Salud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65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08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Indicadores!$AL$1</c:f>
              <c:strCache>
                <c:ptCount val="1"/>
                <c:pt idx="0">
                  <c:v>Vinculación UGR</c:v>
                </c:pt>
              </c:strCache>
            </c:strRef>
          </c:cat>
          <c:val>
            <c:numRef>
              <c:f>Indicadores!$AL$3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D3-4842-8741-99EB391135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69201407"/>
        <c:axId val="1169214303"/>
      </c:barChart>
      <c:catAx>
        <c:axId val="11692014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9214303"/>
        <c:crosses val="autoZero"/>
        <c:auto val="1"/>
        <c:lblAlgn val="ctr"/>
        <c:lblOffset val="100"/>
        <c:noMultiLvlLbl val="0"/>
      </c:catAx>
      <c:valAx>
        <c:axId val="116921430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69201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300"/>
              <a:t>Promedio de publicaciones por alumno y Escuela</a:t>
            </a:r>
          </a:p>
        </c:rich>
      </c:tx>
      <c:layout>
        <c:manualLayout>
          <c:xMode val="edge"/>
          <c:yMode val="edge"/>
          <c:x val="0.1485693350831146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Indicadores!$O$3</c:f>
              <c:strCache>
                <c:ptCount val="1"/>
                <c:pt idx="0">
                  <c:v>Escuela de Doctorado de Ciencias de la Salud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19050">
                <a:solidFill>
                  <a:schemeClr val="accent5">
                    <a:lumMod val="50000"/>
                  </a:schemeClr>
                </a:solidFill>
              </a:ln>
              <a:effectLst/>
            </c:spPr>
          </c:marker>
          <c:cat>
            <c:numRef>
              <c:f>Indicadores!$BH$2:$BL$2</c:f>
              <c:numCache>
                <c:formatCode>0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Indicadores!$BH$3:$BL$3</c:f>
              <c:numCache>
                <c:formatCode>0.0</c:formatCode>
                <c:ptCount val="5"/>
                <c:pt idx="0">
                  <c:v>10</c:v>
                </c:pt>
                <c:pt idx="1">
                  <c:v>7.5454545454545459</c:v>
                </c:pt>
                <c:pt idx="2">
                  <c:v>14.913043478260869</c:v>
                </c:pt>
                <c:pt idx="3">
                  <c:v>8.254545454545454</c:v>
                </c:pt>
                <c:pt idx="4">
                  <c:v>9.40625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C8-4F23-900C-B134508B5F3B}"/>
            </c:ext>
          </c:extLst>
        </c:ser>
        <c:ser>
          <c:idx val="1"/>
          <c:order val="1"/>
          <c:tx>
            <c:strRef>
              <c:f>Indicadores!$O$40</c:f>
              <c:strCache>
                <c:ptCount val="1"/>
                <c:pt idx="0">
                  <c:v>Escuela de Doctorado de Ciencias, Tecnologías e Ingenierías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9"/>
            <c:spPr>
              <a:solidFill>
                <a:schemeClr val="bg1"/>
              </a:solidFill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numRef>
              <c:f>Indicadores!$BH$2:$BL$2</c:f>
              <c:numCache>
                <c:formatCode>0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Indicadores!$BH$40:$BL$40</c:f>
              <c:numCache>
                <c:formatCode>0.0</c:formatCode>
                <c:ptCount val="5"/>
                <c:pt idx="0">
                  <c:v>0</c:v>
                </c:pt>
                <c:pt idx="1">
                  <c:v>10.25</c:v>
                </c:pt>
                <c:pt idx="2">
                  <c:v>10.866666666666667</c:v>
                </c:pt>
                <c:pt idx="3">
                  <c:v>7.5526315789473681</c:v>
                </c:pt>
                <c:pt idx="4">
                  <c:v>6.8947368421052628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C8-4F23-900C-B134508B5F3B}"/>
            </c:ext>
          </c:extLst>
        </c:ser>
        <c:ser>
          <c:idx val="2"/>
          <c:order val="2"/>
          <c:tx>
            <c:strRef>
              <c:f>Indicadores!$O$115</c:f>
              <c:strCache>
                <c:ptCount val="1"/>
                <c:pt idx="0">
                  <c:v>Escuela de Doctorado de Humanidades y Ciencias Sociales y Jurídicas</c:v>
                </c:pt>
              </c:strCache>
            </c:strRef>
          </c:tx>
          <c:spPr>
            <a:ln w="28575" cap="rnd">
              <a:solidFill>
                <a:srgbClr val="8E0808"/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chemeClr val="bg1"/>
              </a:solidFill>
              <a:ln w="19050">
                <a:solidFill>
                  <a:srgbClr val="8E0808"/>
                </a:solidFill>
              </a:ln>
              <a:effectLst/>
            </c:spPr>
          </c:marker>
          <c:cat>
            <c:numRef>
              <c:f>Indicadores!$BH$2:$BL$2</c:f>
              <c:numCache>
                <c:formatCode>0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Indicadores!$BH$115:$BL$115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9.5</c:v>
                </c:pt>
                <c:pt idx="3">
                  <c:v>3.9397590361445785</c:v>
                </c:pt>
                <c:pt idx="4">
                  <c:v>3.8571428571428572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C8-4F23-900C-B134508B5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116799"/>
        <c:axId val="1019118463"/>
      </c:lineChart>
      <c:catAx>
        <c:axId val="101911679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9118463"/>
        <c:crosses val="autoZero"/>
        <c:auto val="1"/>
        <c:lblAlgn val="ctr"/>
        <c:lblOffset val="100"/>
        <c:noMultiLvlLbl val="0"/>
      </c:catAx>
      <c:valAx>
        <c:axId val="1019118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9116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Promedio de publicaciones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Indicadores!$O$3</c:f>
              <c:strCache>
                <c:ptCount val="1"/>
                <c:pt idx="0">
                  <c:v>Escuela de Doctorado de Ciencias de la Salud</c:v>
                </c:pt>
              </c:strCache>
            </c:strRef>
          </c:tx>
          <c:spPr>
            <a:ln w="2222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22225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cat>
            <c:numRef>
              <c:f>Indicadores!$BN$2:$BR$2</c:f>
              <c:numCache>
                <c:formatCode>0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Indicadores!$BN$3:$BR$3</c:f>
              <c:numCache>
                <c:formatCode>0.0</c:formatCode>
                <c:ptCount val="5"/>
                <c:pt idx="0">
                  <c:v>1.6666666666666667</c:v>
                </c:pt>
                <c:pt idx="1">
                  <c:v>13.833333333333334</c:v>
                </c:pt>
                <c:pt idx="2">
                  <c:v>57.166666666666664</c:v>
                </c:pt>
                <c:pt idx="3">
                  <c:v>75.666666666666671</c:v>
                </c:pt>
                <c:pt idx="4">
                  <c:v>100.33333333333333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94-4B1F-909E-136C7E57D607}"/>
            </c:ext>
          </c:extLst>
        </c:ser>
        <c:ser>
          <c:idx val="1"/>
          <c:order val="1"/>
          <c:tx>
            <c:strRef>
              <c:f>Indicadores!$O$40</c:f>
              <c:strCache>
                <c:ptCount val="1"/>
                <c:pt idx="0">
                  <c:v>Escuela de Doctorado de Ciencias, Tecnologías e Ingenierías</c:v>
                </c:pt>
              </c:strCache>
            </c:strRef>
          </c:tx>
          <c:spPr>
            <a:ln w="2222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9"/>
            <c:spPr>
              <a:solidFill>
                <a:schemeClr val="bg1"/>
              </a:solidFill>
              <a:ln w="19050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numRef>
              <c:f>Indicadores!$BN$2:$BR$2</c:f>
              <c:numCache>
                <c:formatCode>0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Indicadores!$BN$40:$BR$40</c:f>
              <c:numCache>
                <c:formatCode>0.0</c:formatCode>
                <c:ptCount val="5"/>
                <c:pt idx="0">
                  <c:v>0</c:v>
                </c:pt>
                <c:pt idx="1">
                  <c:v>8.1999999999999993</c:v>
                </c:pt>
                <c:pt idx="2">
                  <c:v>16.3</c:v>
                </c:pt>
                <c:pt idx="3">
                  <c:v>28.7</c:v>
                </c:pt>
                <c:pt idx="4">
                  <c:v>39.299999999999997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94-4B1F-909E-136C7E57D607}"/>
            </c:ext>
          </c:extLst>
        </c:ser>
        <c:ser>
          <c:idx val="2"/>
          <c:order val="2"/>
          <c:tx>
            <c:strRef>
              <c:f>Indicadores!$O$115</c:f>
              <c:strCache>
                <c:ptCount val="1"/>
                <c:pt idx="0">
                  <c:v>Escuela de Doctorado de Humanidades y Ciencias Sociales y Jurídicas</c:v>
                </c:pt>
              </c:strCache>
            </c:strRef>
          </c:tx>
          <c:spPr>
            <a:ln w="22225" cap="rnd">
              <a:solidFill>
                <a:srgbClr val="8E0808"/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chemeClr val="bg1"/>
              </a:solidFill>
              <a:ln w="19050">
                <a:solidFill>
                  <a:srgbClr val="8E0808"/>
                </a:solidFill>
                <a:round/>
              </a:ln>
              <a:effectLst/>
            </c:spPr>
          </c:marker>
          <c:cat>
            <c:numRef>
              <c:f>Indicadores!$BN$2:$BR$2</c:f>
              <c:numCache>
                <c:formatCode>0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Indicadores!$BN$115:$BR$115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15.571428571428571</c:v>
                </c:pt>
                <c:pt idx="3">
                  <c:v>35.285714285714285</c:v>
                </c:pt>
                <c:pt idx="4">
                  <c:v>31.857142857142858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94-4B1F-909E-136C7E57D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526207"/>
        <c:axId val="1204528287"/>
      </c:lineChart>
      <c:catAx>
        <c:axId val="1204526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04528287"/>
        <c:crosses val="autoZero"/>
        <c:auto val="1"/>
        <c:lblAlgn val="ctr"/>
        <c:lblOffset val="100"/>
        <c:noMultiLvlLbl val="0"/>
      </c:catAx>
      <c:valAx>
        <c:axId val="1204528287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0452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publicaciones/alumnos por Escuela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Indicadores!$AO$1</c:f>
              <c:strCache>
                <c:ptCount val="1"/>
                <c:pt idx="0">
                  <c:v>Publicaciones MI</c:v>
                </c:pt>
              </c:strCache>
            </c:strRef>
          </c:tx>
          <c:spPr>
            <a:solidFill>
              <a:srgbClr val="E49C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(Indicadores!$O$3,Indicadores!$O$40,Indicadores!$O$115)</c:f>
              <c:strCache>
                <c:ptCount val="3"/>
                <c:pt idx="0">
                  <c:v>Escuela de Doctorado de Ciencias de la Salud</c:v>
                </c:pt>
                <c:pt idx="1">
                  <c:v>Escuela de Doctorado de Ciencias, Tecnologías e Ingenierías</c:v>
                </c:pt>
                <c:pt idx="2">
                  <c:v>Escuela de Doctorado de Humanidades y Ciencias Sociales y Jurídicas</c:v>
                </c:pt>
              </c:strCache>
            </c:strRef>
          </c:cat>
          <c:val>
            <c:numRef>
              <c:f>(Indicadores!$AO$3,Indicadores!$AO$40,Indicadores!$AO$115)</c:f>
              <c:numCache>
                <c:formatCode>General</c:formatCode>
                <c:ptCount val="3"/>
                <c:pt idx="0">
                  <c:v>664</c:v>
                </c:pt>
                <c:pt idx="1">
                  <c:v>587</c:v>
                </c:pt>
                <c:pt idx="2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4-43BA-86E4-8859F905A7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42897840"/>
        <c:axId val="1342893264"/>
      </c:barChart>
      <c:lineChart>
        <c:grouping val="standard"/>
        <c:varyColors val="0"/>
        <c:ser>
          <c:idx val="1"/>
          <c:order val="1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spPr>
            <a:ln w="28575" cap="rnd">
              <a:solidFill>
                <a:srgbClr val="A7256F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A7256F"/>
              </a:solidFill>
              <a:ln w="12700" cap="flat" cmpd="sng" algn="ctr">
                <a:noFill/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(Indicadores!$O$3,Indicadores!$O$40,Indicadores!$O$115)</c:f>
              <c:strCache>
                <c:ptCount val="3"/>
                <c:pt idx="0">
                  <c:v>Escuela de Doctorado de Ciencias de la Salud</c:v>
                </c:pt>
                <c:pt idx="1">
                  <c:v>Escuela de Doctorado de Ciencias, Tecnologías e Ingenierías</c:v>
                </c:pt>
                <c:pt idx="2">
                  <c:v>Escuela de Doctorado de Humanidades y Ciencias Sociales y Jurídicas</c:v>
                </c:pt>
              </c:strCache>
            </c:strRef>
          </c:cat>
          <c:val>
            <c:numRef>
              <c:f>(Indicadores!$U$3,Indicadores!$U$40,Indicadores!$U$115)</c:f>
              <c:numCache>
                <c:formatCode>General</c:formatCode>
                <c:ptCount val="3"/>
                <c:pt idx="0">
                  <c:v>154</c:v>
                </c:pt>
                <c:pt idx="1">
                  <c:v>118</c:v>
                </c:pt>
                <c:pt idx="2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04-43BA-86E4-8859F905A7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42897840"/>
        <c:axId val="1342893264"/>
      </c:lineChart>
      <c:catAx>
        <c:axId val="134289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42893264"/>
        <c:crosses val="autoZero"/>
        <c:auto val="1"/>
        <c:lblAlgn val="ctr"/>
        <c:lblOffset val="100"/>
        <c:noMultiLvlLbl val="0"/>
      </c:catAx>
      <c:valAx>
        <c:axId val="1342893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42897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Total publicaciones por cuso académico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circle"/>
            <c:size val="12"/>
            <c:spPr>
              <a:solidFill>
                <a:schemeClr val="bg1"/>
              </a:solidFill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Indicadores!$AW$2:$BA$2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Indicadores!$AW$181:$BA$181</c:f>
              <c:numCache>
                <c:formatCode>General</c:formatCode>
                <c:ptCount val="5"/>
                <c:pt idx="0">
                  <c:v>10</c:v>
                </c:pt>
                <c:pt idx="1">
                  <c:v>165</c:v>
                </c:pt>
                <c:pt idx="2">
                  <c:v>658</c:v>
                </c:pt>
                <c:pt idx="3">
                  <c:v>1068</c:v>
                </c:pt>
                <c:pt idx="4">
                  <c:v>1292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A2-4FAC-887A-D10DAA4FB4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291929984"/>
        <c:axId val="1291930400"/>
      </c:lineChart>
      <c:catAx>
        <c:axId val="12919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91930400"/>
        <c:crosses val="autoZero"/>
        <c:auto val="1"/>
        <c:lblAlgn val="ctr"/>
        <c:lblOffset val="100"/>
        <c:noMultiLvlLbl val="0"/>
      </c:catAx>
      <c:valAx>
        <c:axId val="1291930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9192998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 cap="none" baseline="0"/>
              <a:t>Número alumnos por programa de la Escuela de Doctorado de Ciencias de la Salud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Indicadores!$O$3</c:f>
              <c:strCache>
                <c:ptCount val="1"/>
                <c:pt idx="0">
                  <c:v>Escuela de Doctorado de Ciencias de la Salud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(Indicadores!$O$4,Indicadores!$O$13,Indicadores!$O$17,Indicadores!$O$22,Indicadores!$O$30,Indicadores!$O$34)</c:f>
              <c:strCache>
                <c:ptCount val="6"/>
                <c:pt idx="0">
                  <c:v>Programa de Doctorado en Biomedicina</c:v>
                </c:pt>
                <c:pt idx="1">
                  <c:v>Programa de Doctorado en Bioquímica y Biología Molecular</c:v>
                </c:pt>
                <c:pt idx="2">
                  <c:v>Programa de Doctorado en Farmacia</c:v>
                </c:pt>
                <c:pt idx="3">
                  <c:v>Programa de Doctorado en Medicina Clínica y Salud Pública</c:v>
                </c:pt>
                <c:pt idx="4">
                  <c:v>Programa de Doctorado en Nutrición y Ciencias de los Alimentos</c:v>
                </c:pt>
                <c:pt idx="5">
                  <c:v>Programa de Doctorado en Psicología</c:v>
                </c:pt>
              </c:strCache>
            </c:strRef>
          </c:cat>
          <c:val>
            <c:numRef>
              <c:f>(Indicadores!$U$4,Indicadores!$U$13,Indicadores!$U$17,Indicadores!$U$22,Indicadores!$U$30,Indicadores!$U$34)</c:f>
              <c:numCache>
                <c:formatCode>General</c:formatCode>
                <c:ptCount val="6"/>
                <c:pt idx="0">
                  <c:v>36</c:v>
                </c:pt>
                <c:pt idx="1">
                  <c:v>9</c:v>
                </c:pt>
                <c:pt idx="2">
                  <c:v>27</c:v>
                </c:pt>
                <c:pt idx="3">
                  <c:v>44</c:v>
                </c:pt>
                <c:pt idx="4">
                  <c:v>17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30-4334-A5BF-E407D6EEBF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40518320"/>
        <c:axId val="1240503760"/>
      </c:barChart>
      <c:catAx>
        <c:axId val="1240518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40503760"/>
        <c:crosses val="autoZero"/>
        <c:auto val="1"/>
        <c:lblAlgn val="ctr"/>
        <c:lblOffset val="100"/>
        <c:noMultiLvlLbl val="0"/>
      </c:catAx>
      <c:valAx>
        <c:axId val="12405037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4051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Número</a:t>
            </a:r>
            <a:r>
              <a:rPr lang="es-ES" baseline="0"/>
              <a:t> de a</a:t>
            </a:r>
            <a:r>
              <a:rPr lang="es-ES"/>
              <a:t>lumnos</a:t>
            </a:r>
            <a:r>
              <a:rPr lang="es-ES" baseline="0"/>
              <a:t> por género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Indicadores!$V$2</c:f>
              <c:strCache>
                <c:ptCount val="1"/>
                <c:pt idx="0">
                  <c:v>Hombres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60000"/>
                    <a:lumOff val="40000"/>
                  </a:schemeClr>
                </a:gs>
                <a:gs pos="56000">
                  <a:schemeClr val="accent5">
                    <a:lumMod val="75000"/>
                  </a:schemeClr>
                </a:gs>
                <a:gs pos="100000">
                  <a:schemeClr val="accent5">
                    <a:lumMod val="50000"/>
                  </a:schemeClr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(Indicadores!$O$34,Indicadores!$O$30,Indicadores!$O$22,Indicadores!$O$17,Indicadores!$O$13,Indicadores!$O$4)</c:f>
              <c:strCache>
                <c:ptCount val="6"/>
                <c:pt idx="0">
                  <c:v>Programa de Doctorado en Psicología</c:v>
                </c:pt>
                <c:pt idx="1">
                  <c:v>Programa de Doctorado en Nutrición y Ciencias de los Alimentos</c:v>
                </c:pt>
                <c:pt idx="2">
                  <c:v>Programa de Doctorado en Medicina Clínica y Salud Pública</c:v>
                </c:pt>
                <c:pt idx="3">
                  <c:v>Programa de Doctorado en Farmacia</c:v>
                </c:pt>
                <c:pt idx="4">
                  <c:v>Programa de Doctorado en Bioquímica y Biología Molecular</c:v>
                </c:pt>
                <c:pt idx="5">
                  <c:v>Programa de Doctorado en Biomedicina</c:v>
                </c:pt>
              </c:strCache>
            </c:strRef>
          </c:cat>
          <c:val>
            <c:numRef>
              <c:f>(Indicadores!$V$34,Indicadores!$V$30,Indicadores!$V$22,Indicadores!$V$17,Indicadores!$V$13,Indicadores!$V$4)</c:f>
              <c:numCache>
                <c:formatCode>General</c:formatCode>
                <c:ptCount val="6"/>
                <c:pt idx="0">
                  <c:v>10</c:v>
                </c:pt>
                <c:pt idx="1">
                  <c:v>9</c:v>
                </c:pt>
                <c:pt idx="2">
                  <c:v>17</c:v>
                </c:pt>
                <c:pt idx="3">
                  <c:v>13</c:v>
                </c:pt>
                <c:pt idx="4">
                  <c:v>3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7-4C13-A630-8F5AB276C6B8}"/>
            </c:ext>
          </c:extLst>
        </c:ser>
        <c:ser>
          <c:idx val="1"/>
          <c:order val="1"/>
          <c:tx>
            <c:strRef>
              <c:f>Indicadores!$W$2</c:f>
              <c:strCache>
                <c:ptCount val="1"/>
                <c:pt idx="0">
                  <c:v>Mujeres</c:v>
                </c:pt>
              </c:strCache>
            </c:strRef>
          </c:tx>
          <c:spPr>
            <a:gradFill>
              <a:gsLst>
                <a:gs pos="0">
                  <a:srgbClr val="C10B0B"/>
                </a:gs>
                <a:gs pos="54000">
                  <a:srgbClr val="8E0808"/>
                </a:gs>
                <a:gs pos="100000">
                  <a:srgbClr val="570505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(Indicadores!$O$34,Indicadores!$O$30,Indicadores!$O$22,Indicadores!$O$17,Indicadores!$O$13,Indicadores!$O$4)</c:f>
              <c:strCache>
                <c:ptCount val="6"/>
                <c:pt idx="0">
                  <c:v>Programa de Doctorado en Psicología</c:v>
                </c:pt>
                <c:pt idx="1">
                  <c:v>Programa de Doctorado en Nutrición y Ciencias de los Alimentos</c:v>
                </c:pt>
                <c:pt idx="2">
                  <c:v>Programa de Doctorado en Medicina Clínica y Salud Pública</c:v>
                </c:pt>
                <c:pt idx="3">
                  <c:v>Programa de Doctorado en Farmacia</c:v>
                </c:pt>
                <c:pt idx="4">
                  <c:v>Programa de Doctorado en Bioquímica y Biología Molecular</c:v>
                </c:pt>
                <c:pt idx="5">
                  <c:v>Programa de Doctorado en Biomedicina</c:v>
                </c:pt>
              </c:strCache>
            </c:strRef>
          </c:cat>
          <c:val>
            <c:numRef>
              <c:f>(Indicadores!$W$34,Indicadores!$W$30,Indicadores!$W$22,Indicadores!$W$17,Indicadores!$W$13,Indicadores!$W$4)</c:f>
              <c:numCache>
                <c:formatCode>General</c:formatCode>
                <c:ptCount val="6"/>
                <c:pt idx="0">
                  <c:v>11</c:v>
                </c:pt>
                <c:pt idx="1">
                  <c:v>8</c:v>
                </c:pt>
                <c:pt idx="2">
                  <c:v>27</c:v>
                </c:pt>
                <c:pt idx="3">
                  <c:v>14</c:v>
                </c:pt>
                <c:pt idx="4">
                  <c:v>6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7-4C13-A630-8F5AB276C6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24080431"/>
        <c:axId val="1124068367"/>
      </c:barChart>
      <c:catAx>
        <c:axId val="11240804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24068367"/>
        <c:crosses val="autoZero"/>
        <c:auto val="1"/>
        <c:lblAlgn val="ctr"/>
        <c:lblOffset val="100"/>
        <c:noMultiLvlLbl val="0"/>
      </c:catAx>
      <c:valAx>
        <c:axId val="112406836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24080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 cap="none" baseline="0"/>
              <a:t>Número publicaciones por programa de la Escuela de Doctorado de Ciencias de la Salud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(Indicadores!$O$4,Indicadores!$O$13,Indicadores!$O$17,Indicadores!$O$22,Indicadores!$O$30,Indicadores!$O$34)</c:f>
              <c:strCache>
                <c:ptCount val="6"/>
                <c:pt idx="0">
                  <c:v>Programa de Doctorado en Biomedicina</c:v>
                </c:pt>
                <c:pt idx="1">
                  <c:v>Programa de Doctorado en Bioquímica y Biología Molecular</c:v>
                </c:pt>
                <c:pt idx="2">
                  <c:v>Programa de Doctorado en Farmacia</c:v>
                </c:pt>
                <c:pt idx="3">
                  <c:v>Programa de Doctorado en Medicina Clínica y Salud Pública</c:v>
                </c:pt>
                <c:pt idx="4">
                  <c:v>Programa de Doctorado en Nutrición y Ciencias de los Alimentos</c:v>
                </c:pt>
                <c:pt idx="5">
                  <c:v>Programa de Doctorado en Psicología</c:v>
                </c:pt>
              </c:strCache>
            </c:strRef>
          </c:cat>
          <c:val>
            <c:numRef>
              <c:f>(Indicadores!$AT$4,Indicadores!$AT$13,Indicadores!$AT$17,Indicadores!$AT$22,Indicadores!$AT$30,Indicadores!$AT$34)</c:f>
              <c:numCache>
                <c:formatCode>General</c:formatCode>
                <c:ptCount val="6"/>
                <c:pt idx="0">
                  <c:v>355</c:v>
                </c:pt>
                <c:pt idx="1">
                  <c:v>78</c:v>
                </c:pt>
                <c:pt idx="2">
                  <c:v>182</c:v>
                </c:pt>
                <c:pt idx="3">
                  <c:v>639</c:v>
                </c:pt>
                <c:pt idx="4">
                  <c:v>115</c:v>
                </c:pt>
                <c:pt idx="5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5-4985-8EB9-3B2F5387E3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73353056"/>
        <c:axId val="1173352640"/>
      </c:barChart>
      <c:catAx>
        <c:axId val="11733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73352640"/>
        <c:crosses val="autoZero"/>
        <c:auto val="1"/>
        <c:lblAlgn val="ctr"/>
        <c:lblOffset val="100"/>
        <c:noMultiLvlLbl val="0"/>
      </c:catAx>
      <c:valAx>
        <c:axId val="11733526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7335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Número</a:t>
            </a:r>
            <a:r>
              <a:rPr lang="es-ES" baseline="0"/>
              <a:t> de publicaciones por género del alumno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Indicadores!$AU$2</c:f>
              <c:strCache>
                <c:ptCount val="1"/>
                <c:pt idx="0">
                  <c:v>Hombres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60000"/>
                    <a:lumOff val="40000"/>
                  </a:schemeClr>
                </a:gs>
                <a:gs pos="56000">
                  <a:schemeClr val="accent5">
                    <a:lumMod val="75000"/>
                  </a:schemeClr>
                </a:gs>
                <a:gs pos="100000">
                  <a:schemeClr val="accent5">
                    <a:lumMod val="50000"/>
                  </a:schemeClr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(Indicadores!$O$34,Indicadores!$O$30,Indicadores!$O$22,Indicadores!$O$17,Indicadores!$O$13,Indicadores!$O$4)</c:f>
              <c:strCache>
                <c:ptCount val="6"/>
                <c:pt idx="0">
                  <c:v>Programa de Doctorado en Psicología</c:v>
                </c:pt>
                <c:pt idx="1">
                  <c:v>Programa de Doctorado en Nutrición y Ciencias de los Alimentos</c:v>
                </c:pt>
                <c:pt idx="2">
                  <c:v>Programa de Doctorado en Medicina Clínica y Salud Pública</c:v>
                </c:pt>
                <c:pt idx="3">
                  <c:v>Programa de Doctorado en Farmacia</c:v>
                </c:pt>
                <c:pt idx="4">
                  <c:v>Programa de Doctorado en Bioquímica y Biología Molecular</c:v>
                </c:pt>
                <c:pt idx="5">
                  <c:v>Programa de Doctorado en Biomedicina</c:v>
                </c:pt>
              </c:strCache>
            </c:strRef>
          </c:cat>
          <c:val>
            <c:numRef>
              <c:f>(Indicadores!$AU$34,Indicadores!$AU$30,Indicadores!$AU$22,Indicadores!$AU$17,Indicadores!$AU$13,Indicadores!$AU$4)</c:f>
              <c:numCache>
                <c:formatCode>General</c:formatCode>
                <c:ptCount val="6"/>
                <c:pt idx="0">
                  <c:v>80</c:v>
                </c:pt>
                <c:pt idx="1">
                  <c:v>58</c:v>
                </c:pt>
                <c:pt idx="2">
                  <c:v>281</c:v>
                </c:pt>
                <c:pt idx="3">
                  <c:v>87</c:v>
                </c:pt>
                <c:pt idx="4">
                  <c:v>18</c:v>
                </c:pt>
                <c:pt idx="5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0-464A-ACCD-B0B46C5EF25C}"/>
            </c:ext>
          </c:extLst>
        </c:ser>
        <c:ser>
          <c:idx val="1"/>
          <c:order val="1"/>
          <c:tx>
            <c:strRef>
              <c:f>Indicadores!$AV$2</c:f>
              <c:strCache>
                <c:ptCount val="1"/>
                <c:pt idx="0">
                  <c:v>Mujeres</c:v>
                </c:pt>
              </c:strCache>
            </c:strRef>
          </c:tx>
          <c:spPr>
            <a:gradFill>
              <a:gsLst>
                <a:gs pos="0">
                  <a:srgbClr val="C10B0B"/>
                </a:gs>
                <a:gs pos="54000">
                  <a:srgbClr val="8E0808"/>
                </a:gs>
                <a:gs pos="100000">
                  <a:srgbClr val="570505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(Indicadores!$O$34,Indicadores!$O$30,Indicadores!$O$22,Indicadores!$O$17,Indicadores!$O$13,Indicadores!$O$4)</c:f>
              <c:strCache>
                <c:ptCount val="6"/>
                <c:pt idx="0">
                  <c:v>Programa de Doctorado en Psicología</c:v>
                </c:pt>
                <c:pt idx="1">
                  <c:v>Programa de Doctorado en Nutrición y Ciencias de los Alimentos</c:v>
                </c:pt>
                <c:pt idx="2">
                  <c:v>Programa de Doctorado en Medicina Clínica y Salud Pública</c:v>
                </c:pt>
                <c:pt idx="3">
                  <c:v>Programa de Doctorado en Farmacia</c:v>
                </c:pt>
                <c:pt idx="4">
                  <c:v>Programa de Doctorado en Bioquímica y Biología Molecular</c:v>
                </c:pt>
                <c:pt idx="5">
                  <c:v>Programa de Doctorado en Biomedicina</c:v>
                </c:pt>
              </c:strCache>
            </c:strRef>
          </c:cat>
          <c:val>
            <c:numRef>
              <c:f>(Indicadores!$AV$34,Indicadores!$AV$30,Indicadores!$AV$22,Indicadores!$AV$17,Indicadores!$AV$13,Indicadores!$AV$4)</c:f>
              <c:numCache>
                <c:formatCode>General</c:formatCode>
                <c:ptCount val="6"/>
                <c:pt idx="0">
                  <c:v>43</c:v>
                </c:pt>
                <c:pt idx="1">
                  <c:v>57</c:v>
                </c:pt>
                <c:pt idx="2">
                  <c:v>358</c:v>
                </c:pt>
                <c:pt idx="3">
                  <c:v>95</c:v>
                </c:pt>
                <c:pt idx="4">
                  <c:v>60</c:v>
                </c:pt>
                <c:pt idx="5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10-464A-ACCD-B0B46C5EF2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69224287"/>
        <c:axId val="1169219711"/>
      </c:barChart>
      <c:catAx>
        <c:axId val="11692242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9219711"/>
        <c:crosses val="autoZero"/>
        <c:auto val="1"/>
        <c:lblAlgn val="ctr"/>
        <c:lblOffset val="100"/>
        <c:noMultiLvlLbl val="0"/>
      </c:catAx>
      <c:valAx>
        <c:axId val="116921971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69224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alumnos</a:t>
            </a:r>
            <a:r>
              <a:rPr lang="es-ES" baseline="0"/>
              <a:t> por curso académico y Programa de Doctorado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Indicadores!$O$4</c:f>
              <c:strCache>
                <c:ptCount val="1"/>
                <c:pt idx="0">
                  <c:v>Programa de Doctorado en Biomedicina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Indicadores!$X$4:$AB$4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13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EE-4494-8986-3057F9DF323D}"/>
            </c:ext>
          </c:extLst>
        </c:ser>
        <c:ser>
          <c:idx val="1"/>
          <c:order val="1"/>
          <c:tx>
            <c:strRef>
              <c:f>Indicadores!$O$13</c:f>
              <c:strCache>
                <c:ptCount val="1"/>
                <c:pt idx="0">
                  <c:v>Programa de Doctorado en Bioquímica y Biología Molecular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Indicadores!$X$13:$AB$13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EE-4494-8986-3057F9DF323D}"/>
            </c:ext>
          </c:extLst>
        </c:ser>
        <c:ser>
          <c:idx val="2"/>
          <c:order val="2"/>
          <c:tx>
            <c:strRef>
              <c:f>Indicadores!$O$17</c:f>
              <c:strCache>
                <c:ptCount val="1"/>
                <c:pt idx="0">
                  <c:v>Programa de Doctorado en Farmacia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Indicadores!$X$17:$AB$17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11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EE-4494-8986-3057F9DF323D}"/>
            </c:ext>
          </c:extLst>
        </c:ser>
        <c:ser>
          <c:idx val="3"/>
          <c:order val="3"/>
          <c:tx>
            <c:strRef>
              <c:f>Indicadores!$O$22</c:f>
              <c:strCache>
                <c:ptCount val="1"/>
                <c:pt idx="0">
                  <c:v>Programa de Doctorado en Medicina Clínica y Salud Pública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Indicadores!$X$22:$AB$22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14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EE-4494-8986-3057F9DF323D}"/>
            </c:ext>
          </c:extLst>
        </c:ser>
        <c:ser>
          <c:idx val="4"/>
          <c:order val="4"/>
          <c:tx>
            <c:strRef>
              <c:f>Indicadores!$O$30</c:f>
              <c:strCache>
                <c:ptCount val="1"/>
                <c:pt idx="0">
                  <c:v>Programa de Doctorado en Nutrición y Ciencias de los Alimentos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Indicadores!$X$30:$AB$30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EE-4494-8986-3057F9DF323D}"/>
            </c:ext>
          </c:extLst>
        </c:ser>
        <c:ser>
          <c:idx val="5"/>
          <c:order val="5"/>
          <c:tx>
            <c:strRef>
              <c:f>Indicadores!$O$34</c:f>
              <c:strCache>
                <c:ptCount val="1"/>
                <c:pt idx="0">
                  <c:v>Programa de Doctorado en Psicología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Indicadores!$X$34:$AB$34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7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EE-4494-8986-3057F9DF32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04527871"/>
        <c:axId val="1204525375"/>
      </c:lineChart>
      <c:catAx>
        <c:axId val="1204527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04525375"/>
        <c:crosses val="autoZero"/>
        <c:auto val="1"/>
        <c:lblAlgn val="ctr"/>
        <c:lblOffset val="100"/>
        <c:noMultiLvlLbl val="0"/>
      </c:catAx>
      <c:valAx>
        <c:axId val="1204525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04527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publicaciones por curso</a:t>
            </a:r>
            <a:r>
              <a:rPr lang="es-ES" baseline="0"/>
              <a:t> académico y Programa de Doctorado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Indicadores!$O$4</c:f>
              <c:strCache>
                <c:ptCount val="1"/>
                <c:pt idx="0">
                  <c:v>Programa de Doctorado en Biomedicina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Indicadores!$AW$4:$BA$4</c:f>
              <c:numCache>
                <c:formatCode>General</c:formatCode>
                <c:ptCount val="5"/>
                <c:pt idx="0">
                  <c:v>0</c:v>
                </c:pt>
                <c:pt idx="1">
                  <c:v>38</c:v>
                </c:pt>
                <c:pt idx="2">
                  <c:v>67</c:v>
                </c:pt>
                <c:pt idx="3">
                  <c:v>102</c:v>
                </c:pt>
                <c:pt idx="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26-4730-96E3-1FC1DE853C62}"/>
            </c:ext>
          </c:extLst>
        </c:ser>
        <c:ser>
          <c:idx val="1"/>
          <c:order val="1"/>
          <c:tx>
            <c:strRef>
              <c:f>Indicadores!$O$13</c:f>
              <c:strCache>
                <c:ptCount val="1"/>
                <c:pt idx="0">
                  <c:v>Programa de Doctorado en Bioquímica y Biología Molecular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Indicadores!$AW$13:$BA$13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9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26-4730-96E3-1FC1DE853C62}"/>
            </c:ext>
          </c:extLst>
        </c:ser>
        <c:ser>
          <c:idx val="2"/>
          <c:order val="2"/>
          <c:tx>
            <c:strRef>
              <c:f>Indicadores!$O$17</c:f>
              <c:strCache>
                <c:ptCount val="1"/>
                <c:pt idx="0">
                  <c:v>Programa de Doctorado en Farmacia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Indicadores!$AW$17:$BA$17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31</c:v>
                </c:pt>
                <c:pt idx="3">
                  <c:v>82</c:v>
                </c:pt>
                <c:pt idx="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26-4730-96E3-1FC1DE853C62}"/>
            </c:ext>
          </c:extLst>
        </c:ser>
        <c:ser>
          <c:idx val="3"/>
          <c:order val="3"/>
          <c:tx>
            <c:strRef>
              <c:f>Indicadores!$O$22</c:f>
              <c:strCache>
                <c:ptCount val="1"/>
                <c:pt idx="0">
                  <c:v>Programa de Doctorado en Medicina Clínica y Salud Pública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Indicadores!$AW$22:$BA$22</c:f>
              <c:numCache>
                <c:formatCode>General</c:formatCode>
                <c:ptCount val="5"/>
                <c:pt idx="0">
                  <c:v>0</c:v>
                </c:pt>
                <c:pt idx="1">
                  <c:v>34</c:v>
                </c:pt>
                <c:pt idx="2">
                  <c:v>148</c:v>
                </c:pt>
                <c:pt idx="3">
                  <c:v>169</c:v>
                </c:pt>
                <c:pt idx="4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26-4730-96E3-1FC1DE853C62}"/>
            </c:ext>
          </c:extLst>
        </c:ser>
        <c:ser>
          <c:idx val="4"/>
          <c:order val="4"/>
          <c:tx>
            <c:strRef>
              <c:f>Indicadores!$O$30</c:f>
              <c:strCache>
                <c:ptCount val="1"/>
                <c:pt idx="0">
                  <c:v>Programa de Doctorado en Nutrición y Ciencias de los Alimentos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Indicadores!$AW$30:$BA$30</c:f>
              <c:numCache>
                <c:formatCode>General</c:formatCode>
                <c:ptCount val="5"/>
                <c:pt idx="0">
                  <c:v>10</c:v>
                </c:pt>
                <c:pt idx="1">
                  <c:v>1</c:v>
                </c:pt>
                <c:pt idx="2">
                  <c:v>13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B26-4730-96E3-1FC1DE853C62}"/>
            </c:ext>
          </c:extLst>
        </c:ser>
        <c:ser>
          <c:idx val="5"/>
          <c:order val="5"/>
          <c:tx>
            <c:strRef>
              <c:f>Indicadores!$O$34</c:f>
              <c:strCache>
                <c:ptCount val="1"/>
                <c:pt idx="0">
                  <c:v>Programa de Doctorado en Psicología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Indicadores!$AW$34:$BA$34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B26-4730-96E3-1FC1DE853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4073359"/>
        <c:axId val="1124070447"/>
      </c:lineChart>
      <c:catAx>
        <c:axId val="112407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24070447"/>
        <c:crosses val="autoZero"/>
        <c:auto val="1"/>
        <c:lblAlgn val="ctr"/>
        <c:lblOffset val="100"/>
        <c:noMultiLvlLbl val="0"/>
      </c:catAx>
      <c:valAx>
        <c:axId val="1124070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24073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Cotutelas por Programa</a:t>
            </a:r>
            <a:r>
              <a:rPr lang="es-ES" baseline="0"/>
              <a:t> de Doctorado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2225" cap="rnd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25400" cap="flat" cmpd="sng" algn="ctr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marker>
          <c:cat>
            <c:strRef>
              <c:f>(Indicadores!$O$4,Indicadores!$O$13,Indicadores!$O$17,Indicadores!$O$22,Indicadores!$O$30,Indicadores!$O$34)</c:f>
              <c:strCache>
                <c:ptCount val="6"/>
                <c:pt idx="0">
                  <c:v>Programa de Doctorado en Biomedicina</c:v>
                </c:pt>
                <c:pt idx="1">
                  <c:v>Programa de Doctorado en Bioquímica y Biología Molecular</c:v>
                </c:pt>
                <c:pt idx="2">
                  <c:v>Programa de Doctorado en Farmacia</c:v>
                </c:pt>
                <c:pt idx="3">
                  <c:v>Programa de Doctorado en Medicina Clínica y Salud Pública</c:v>
                </c:pt>
                <c:pt idx="4">
                  <c:v>Programa de Doctorado en Nutrición y Ciencias de los Alimentos</c:v>
                </c:pt>
                <c:pt idx="5">
                  <c:v>Programa de Doctorado en Psicología</c:v>
                </c:pt>
              </c:strCache>
            </c:strRef>
          </c:cat>
          <c:val>
            <c:numRef>
              <c:f>(Indicadores!$AH$4,Indicadores!$AH$13,Indicadores!$AH$17,Indicadores!$AH$22,Indicadores!$AH$30,Indicadores!$AH$34)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E1-4D5D-A11E-7B62F890D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24098735"/>
        <c:axId val="1124109551"/>
      </c:lineChart>
      <c:catAx>
        <c:axId val="112409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24109551"/>
        <c:crosses val="autoZero"/>
        <c:auto val="1"/>
        <c:lblAlgn val="ctr"/>
        <c:lblOffset val="100"/>
        <c:noMultiLvlLbl val="0"/>
      </c:catAx>
      <c:valAx>
        <c:axId val="112410955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Número de cOTUTELAS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24098735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Alumnos</a:t>
            </a:r>
            <a:r>
              <a:rPr lang="es-ES" baseline="0"/>
              <a:t> vinculados a la UGR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(Indicadores!$O$34,Indicadores!$O$30,Indicadores!$O$22,Indicadores!$O$17,Indicadores!$O$13,Indicadores!$O$4)</c:f>
              <c:strCache>
                <c:ptCount val="6"/>
                <c:pt idx="0">
                  <c:v>Programa de Doctorado en Psicología</c:v>
                </c:pt>
                <c:pt idx="1">
                  <c:v>Programa de Doctorado en Nutrición y Ciencias de los Alimentos</c:v>
                </c:pt>
                <c:pt idx="2">
                  <c:v>Programa de Doctorado en Medicina Clínica y Salud Pública</c:v>
                </c:pt>
                <c:pt idx="3">
                  <c:v>Programa de Doctorado en Farmacia</c:v>
                </c:pt>
                <c:pt idx="4">
                  <c:v>Programa de Doctorado en Bioquímica y Biología Molecular</c:v>
                </c:pt>
                <c:pt idx="5">
                  <c:v>Programa de Doctorado en Biomedicina</c:v>
                </c:pt>
              </c:strCache>
            </c:strRef>
          </c:cat>
          <c:val>
            <c:numRef>
              <c:f>(Indicadores!$AL$34,Indicadores!$AL$30,Indicadores!$AL$22,Indicadores!$AL$17,Indicadores!$AL$13,Indicadores!$AL$4)</c:f>
              <c:numCache>
                <c:formatCode>General</c:formatCode>
                <c:ptCount val="6"/>
                <c:pt idx="0">
                  <c:v>8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D-4DC0-A3BC-76A77C444A4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69218047"/>
        <c:axId val="1169221791"/>
      </c:barChart>
      <c:catAx>
        <c:axId val="11692180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9221791"/>
        <c:crosses val="autoZero"/>
        <c:auto val="1"/>
        <c:lblAlgn val="ctr"/>
        <c:lblOffset val="100"/>
        <c:noMultiLvlLbl val="0"/>
      </c:catAx>
      <c:valAx>
        <c:axId val="116922179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69218047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Alumnos</a:t>
            </a:r>
            <a:r>
              <a:rPr lang="es-ES" baseline="0"/>
              <a:t> con mención internacional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(Indicadores!$O$34,Indicadores!$O$30,Indicadores!$O$22,Indicadores!$O$17,Indicadores!$O$13,Indicadores!$O$4)</c:f>
              <c:strCache>
                <c:ptCount val="6"/>
                <c:pt idx="0">
                  <c:v>Programa de Doctorado en Psicología</c:v>
                </c:pt>
                <c:pt idx="1">
                  <c:v>Programa de Doctorado en Nutrición y Ciencias de los Alimentos</c:v>
                </c:pt>
                <c:pt idx="2">
                  <c:v>Programa de Doctorado en Medicina Clínica y Salud Pública</c:v>
                </c:pt>
                <c:pt idx="3">
                  <c:v>Programa de Doctorado en Farmacia</c:v>
                </c:pt>
                <c:pt idx="4">
                  <c:v>Programa de Doctorado en Bioquímica y Biología Molecular</c:v>
                </c:pt>
                <c:pt idx="5">
                  <c:v>Programa de Doctorado en Biomedicina</c:v>
                </c:pt>
              </c:strCache>
            </c:strRef>
          </c:cat>
          <c:val>
            <c:numRef>
              <c:f>(Indicadores!$AM$34,Indicadores!$AM$30,Indicadores!$AM$22,Indicadores!$AM$17,Indicadores!$AM$13,Indicadores!$AM$4)</c:f>
              <c:numCache>
                <c:formatCode>General</c:formatCode>
                <c:ptCount val="6"/>
                <c:pt idx="0">
                  <c:v>14</c:v>
                </c:pt>
                <c:pt idx="1">
                  <c:v>6</c:v>
                </c:pt>
                <c:pt idx="2">
                  <c:v>13</c:v>
                </c:pt>
                <c:pt idx="3">
                  <c:v>5</c:v>
                </c:pt>
                <c:pt idx="4">
                  <c:v>1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67-4CD6-AE0D-275F3D78A2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24121199"/>
        <c:axId val="1124076687"/>
      </c:barChart>
      <c:catAx>
        <c:axId val="112412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24076687"/>
        <c:crosses val="autoZero"/>
        <c:auto val="1"/>
        <c:lblAlgn val="ctr"/>
        <c:lblOffset val="100"/>
        <c:noMultiLvlLbl val="0"/>
      </c:catAx>
      <c:valAx>
        <c:axId val="1124076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24121199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Tesis publicadas en Digibug, TESEO y</a:t>
            </a:r>
            <a:r>
              <a:rPr lang="es-ES" baseline="0"/>
              <a:t> Dialnet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Indicadores!$AQ$1</c:f>
              <c:strCache>
                <c:ptCount val="1"/>
                <c:pt idx="0">
                  <c:v>Tesis en Digibug</c:v>
                </c:pt>
              </c:strCache>
            </c:strRef>
          </c:tx>
          <c:spPr>
            <a:gradFill>
              <a:gsLst>
                <a:gs pos="0">
                  <a:srgbClr val="C10B0B"/>
                </a:gs>
                <a:gs pos="54000">
                  <a:srgbClr val="8E0808"/>
                </a:gs>
                <a:gs pos="100000">
                  <a:srgbClr val="570505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(Indicadores!$O$4,Indicadores!$O$13,Indicadores!$O$17,Indicadores!$O$22,Indicadores!$O$30,Indicadores!$O$34)</c:f>
              <c:strCache>
                <c:ptCount val="6"/>
                <c:pt idx="0">
                  <c:v>Programa de Doctorado en Biomedicina</c:v>
                </c:pt>
                <c:pt idx="1">
                  <c:v>Programa de Doctorado en Bioquímica y Biología Molecular</c:v>
                </c:pt>
                <c:pt idx="2">
                  <c:v>Programa de Doctorado en Farmacia</c:v>
                </c:pt>
                <c:pt idx="3">
                  <c:v>Programa de Doctorado en Medicina Clínica y Salud Pública</c:v>
                </c:pt>
                <c:pt idx="4">
                  <c:v>Programa de Doctorado en Nutrición y Ciencias de los Alimentos</c:v>
                </c:pt>
                <c:pt idx="5">
                  <c:v>Programa de Doctorado en Psicología</c:v>
                </c:pt>
              </c:strCache>
            </c:strRef>
          </c:cat>
          <c:val>
            <c:numRef>
              <c:f>(Indicadores!$AQ$4,Indicadores!$AQ$13,Indicadores!$AQ$17,Indicadores!$AQ$22,Indicadores!$AQ$30,Indicadores!$AQ$34)</c:f>
              <c:numCache>
                <c:formatCode>General</c:formatCode>
                <c:ptCount val="6"/>
                <c:pt idx="0">
                  <c:v>35</c:v>
                </c:pt>
                <c:pt idx="1">
                  <c:v>7</c:v>
                </c:pt>
                <c:pt idx="2">
                  <c:v>26</c:v>
                </c:pt>
                <c:pt idx="3">
                  <c:v>40</c:v>
                </c:pt>
                <c:pt idx="4">
                  <c:v>14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3-4564-82EE-2CDB4E443D36}"/>
            </c:ext>
          </c:extLst>
        </c:ser>
        <c:ser>
          <c:idx val="1"/>
          <c:order val="1"/>
          <c:tx>
            <c:strRef>
              <c:f>Indicadores!$AR$1</c:f>
              <c:strCache>
                <c:ptCount val="1"/>
                <c:pt idx="0">
                  <c:v>Tesis en TESEO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65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(Indicadores!$O$4,Indicadores!$O$13,Indicadores!$O$17,Indicadores!$O$22,Indicadores!$O$30,Indicadores!$O$34)</c:f>
              <c:strCache>
                <c:ptCount val="6"/>
                <c:pt idx="0">
                  <c:v>Programa de Doctorado en Biomedicina</c:v>
                </c:pt>
                <c:pt idx="1">
                  <c:v>Programa de Doctorado en Bioquímica y Biología Molecular</c:v>
                </c:pt>
                <c:pt idx="2">
                  <c:v>Programa de Doctorado en Farmacia</c:v>
                </c:pt>
                <c:pt idx="3">
                  <c:v>Programa de Doctorado en Medicina Clínica y Salud Pública</c:v>
                </c:pt>
                <c:pt idx="4">
                  <c:v>Programa de Doctorado en Nutrición y Ciencias de los Alimentos</c:v>
                </c:pt>
                <c:pt idx="5">
                  <c:v>Programa de Doctorado en Psicología</c:v>
                </c:pt>
              </c:strCache>
            </c:strRef>
          </c:cat>
          <c:val>
            <c:numRef>
              <c:f>(Indicadores!$AR$4,Indicadores!$AR$13,Indicadores!$AR$17,Indicadores!$AR$22,Indicadores!$AR$30,Indicadores!$AR$34)</c:f>
              <c:numCache>
                <c:formatCode>General</c:formatCode>
                <c:ptCount val="6"/>
                <c:pt idx="0">
                  <c:v>18</c:v>
                </c:pt>
                <c:pt idx="1">
                  <c:v>4</c:v>
                </c:pt>
                <c:pt idx="2">
                  <c:v>6</c:v>
                </c:pt>
                <c:pt idx="3">
                  <c:v>20</c:v>
                </c:pt>
                <c:pt idx="4">
                  <c:v>5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D3-4564-82EE-2CDB4E443D36}"/>
            </c:ext>
          </c:extLst>
        </c:ser>
        <c:ser>
          <c:idx val="2"/>
          <c:order val="2"/>
          <c:tx>
            <c:strRef>
              <c:f>Indicadores!$AS$1</c:f>
              <c:strCache>
                <c:ptCount val="1"/>
                <c:pt idx="0">
                  <c:v>Tesis en Dialnet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79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(Indicadores!$O$4,Indicadores!$O$13,Indicadores!$O$17,Indicadores!$O$22,Indicadores!$O$30,Indicadores!$O$34)</c:f>
              <c:strCache>
                <c:ptCount val="6"/>
                <c:pt idx="0">
                  <c:v>Programa de Doctorado en Biomedicina</c:v>
                </c:pt>
                <c:pt idx="1">
                  <c:v>Programa de Doctorado en Bioquímica y Biología Molecular</c:v>
                </c:pt>
                <c:pt idx="2">
                  <c:v>Programa de Doctorado en Farmacia</c:v>
                </c:pt>
                <c:pt idx="3">
                  <c:v>Programa de Doctorado en Medicina Clínica y Salud Pública</c:v>
                </c:pt>
                <c:pt idx="4">
                  <c:v>Programa de Doctorado en Nutrición y Ciencias de los Alimentos</c:v>
                </c:pt>
                <c:pt idx="5">
                  <c:v>Programa de Doctorado en Psicología</c:v>
                </c:pt>
              </c:strCache>
            </c:strRef>
          </c:cat>
          <c:val>
            <c:numRef>
              <c:f>(Indicadores!$AS$4,Indicadores!$AS$13,Indicadores!$AS$17,Indicadores!$AS$22,Indicadores!$AS$30,Indicadores!$AS$34)</c:f>
              <c:numCache>
                <c:formatCode>General</c:formatCode>
                <c:ptCount val="6"/>
                <c:pt idx="0">
                  <c:v>34</c:v>
                </c:pt>
                <c:pt idx="1">
                  <c:v>8</c:v>
                </c:pt>
                <c:pt idx="2">
                  <c:v>26</c:v>
                </c:pt>
                <c:pt idx="3">
                  <c:v>40</c:v>
                </c:pt>
                <c:pt idx="4">
                  <c:v>15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D3-4564-82EE-2CDB4E443D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11305311"/>
        <c:axId val="1111304063"/>
      </c:barChart>
      <c:catAx>
        <c:axId val="1111305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11304063"/>
        <c:crosses val="autoZero"/>
        <c:auto val="1"/>
        <c:lblAlgn val="ctr"/>
        <c:lblOffset val="100"/>
        <c:noMultiLvlLbl val="0"/>
      </c:catAx>
      <c:valAx>
        <c:axId val="11113040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1305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ES"/>
              <a:t>Promedio de publicaciones por alumno</a:t>
            </a:r>
          </a:p>
        </c:rich>
      </c:tx>
      <c:layout>
        <c:manualLayout>
          <c:xMode val="edge"/>
          <c:yMode val="edge"/>
          <c:x val="0.1874652230971128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8F8F8"/>
                </a:gs>
                <a:gs pos="0">
                  <a:schemeClr val="tx1">
                    <a:lumMod val="50000"/>
                    <a:lumOff val="50000"/>
                  </a:schemeClr>
                </a:gs>
                <a:gs pos="83000">
                  <a:schemeClr val="bg2">
                    <a:lumMod val="25000"/>
                  </a:schemeClr>
                </a:gs>
                <a:gs pos="91000">
                  <a:schemeClr val="bg2">
                    <a:lumMod val="25000"/>
                  </a:schemeClr>
                </a:gs>
              </a:gsLst>
              <a:lin ang="162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Indicadores!$BH$2:$BL$2</c:f>
              <c:numCache>
                <c:formatCode>0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Indicadores!$BH$181:$BL$181</c:f>
              <c:numCache>
                <c:formatCode>0.0</c:formatCode>
                <c:ptCount val="5"/>
                <c:pt idx="0">
                  <c:v>10</c:v>
                </c:pt>
                <c:pt idx="1">
                  <c:v>8.6842105263157894</c:v>
                </c:pt>
                <c:pt idx="2">
                  <c:v>12.185185185185185</c:v>
                </c:pt>
                <c:pt idx="3">
                  <c:v>6.0681818181818183</c:v>
                </c:pt>
                <c:pt idx="4">
                  <c:v>6.5252525252525251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B-4A2F-9AC4-BC0A0194256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019096831"/>
        <c:axId val="1019097663"/>
      </c:barChart>
      <c:catAx>
        <c:axId val="1019096831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9097663"/>
        <c:crosses val="autoZero"/>
        <c:auto val="1"/>
        <c:lblAlgn val="ctr"/>
        <c:lblOffset val="100"/>
        <c:noMultiLvlLbl val="0"/>
      </c:catAx>
      <c:valAx>
        <c:axId val="1019097663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0190968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Promedio</a:t>
            </a:r>
            <a:r>
              <a:rPr lang="es-ES" baseline="0"/>
              <a:t> de publicaciones por alumno y Programa de Doctorado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284527518172378E-2"/>
          <c:y val="0.17171296296296298"/>
          <c:w val="0.60228452751817241"/>
          <c:h val="0.77736111111111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Indicadores!$O$4</c:f>
              <c:strCache>
                <c:ptCount val="1"/>
                <c:pt idx="0">
                  <c:v>Programa de Doctorado en Biomedicina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Indicadores!$BG$4</c:f>
              <c:numCache>
                <c:formatCode>0.0</c:formatCode>
                <c:ptCount val="1"/>
                <c:pt idx="0">
                  <c:v>9.8611111111111107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E-469F-8729-5264210AEE51}"/>
            </c:ext>
          </c:extLst>
        </c:ser>
        <c:ser>
          <c:idx val="1"/>
          <c:order val="1"/>
          <c:tx>
            <c:strRef>
              <c:f>Indicadores!$O$13</c:f>
              <c:strCache>
                <c:ptCount val="1"/>
                <c:pt idx="0">
                  <c:v>Programa de Doctorado en Bioquímica y Biología Molecular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Indicadores!$BG$13</c:f>
              <c:numCache>
                <c:formatCode>0.0</c:formatCode>
                <c:ptCount val="1"/>
                <c:pt idx="0">
                  <c:v>8.6666666666666661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CE-469F-8729-5264210AEE51}"/>
            </c:ext>
          </c:extLst>
        </c:ser>
        <c:ser>
          <c:idx val="2"/>
          <c:order val="2"/>
          <c:tx>
            <c:strRef>
              <c:f>Indicadores!$O$17</c:f>
              <c:strCache>
                <c:ptCount val="1"/>
                <c:pt idx="0">
                  <c:v>Programa de Doctorado en Farmacia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Indicadores!$BG$17</c:f>
              <c:numCache>
                <c:formatCode>0.0</c:formatCode>
                <c:ptCount val="1"/>
                <c:pt idx="0">
                  <c:v>6.7407407407407405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CE-469F-8729-5264210AEE51}"/>
            </c:ext>
          </c:extLst>
        </c:ser>
        <c:ser>
          <c:idx val="3"/>
          <c:order val="3"/>
          <c:tx>
            <c:strRef>
              <c:f>Indicadores!$O$22</c:f>
              <c:strCache>
                <c:ptCount val="1"/>
                <c:pt idx="0">
                  <c:v>Programa de Doctorado en Medicina Clínica y Salud Pública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Indicadores!$BG$22</c:f>
              <c:numCache>
                <c:formatCode>0.0</c:formatCode>
                <c:ptCount val="1"/>
                <c:pt idx="0">
                  <c:v>14.522727272727273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CE-469F-8729-5264210AEE51}"/>
            </c:ext>
          </c:extLst>
        </c:ser>
        <c:ser>
          <c:idx val="4"/>
          <c:order val="4"/>
          <c:tx>
            <c:strRef>
              <c:f>Indicadores!$O$30</c:f>
              <c:strCache>
                <c:ptCount val="1"/>
                <c:pt idx="0">
                  <c:v>Programa de Doctorado en Nutrición y Ciencias de los Alimentos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Indicadores!$BG$30</c:f>
              <c:numCache>
                <c:formatCode>0.0</c:formatCode>
                <c:ptCount val="1"/>
                <c:pt idx="0">
                  <c:v>6.7647058823529411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CE-469F-8729-5264210AEE51}"/>
            </c:ext>
          </c:extLst>
        </c:ser>
        <c:ser>
          <c:idx val="5"/>
          <c:order val="5"/>
          <c:tx>
            <c:strRef>
              <c:f>Indicadores!$O$34</c:f>
              <c:strCache>
                <c:ptCount val="1"/>
                <c:pt idx="0">
                  <c:v>Programa de Doctorado en Psicología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Indicadores!$BG$34</c:f>
              <c:numCache>
                <c:formatCode>0.0</c:formatCode>
                <c:ptCount val="1"/>
                <c:pt idx="0">
                  <c:v>5.8571428571428568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CE-469F-8729-5264210AEE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20331743"/>
        <c:axId val="1120332575"/>
      </c:barChart>
      <c:catAx>
        <c:axId val="112033174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20332575"/>
        <c:crosses val="autoZero"/>
        <c:auto val="1"/>
        <c:lblAlgn val="ctr"/>
        <c:lblOffset val="100"/>
        <c:noMultiLvlLbl val="0"/>
      </c:catAx>
      <c:valAx>
        <c:axId val="1120332575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1120331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Promedio de</a:t>
            </a:r>
            <a:r>
              <a:rPr lang="es-ES" baseline="0"/>
              <a:t> publicaciones por Programa de Doctorado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Indicadores!$O$4</c:f>
              <c:strCache>
                <c:ptCount val="1"/>
                <c:pt idx="0">
                  <c:v>Programa de Doctorado en Biomedicina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Indicadores!$BM$4</c:f>
              <c:numCache>
                <c:formatCode>0.0</c:formatCode>
                <c:ptCount val="1"/>
                <c:pt idx="0">
                  <c:v>44.375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E-4068-8EAE-54ECE2B30587}"/>
            </c:ext>
          </c:extLst>
        </c:ser>
        <c:ser>
          <c:idx val="1"/>
          <c:order val="1"/>
          <c:tx>
            <c:strRef>
              <c:f>Indicadores!$O$13</c:f>
              <c:strCache>
                <c:ptCount val="1"/>
                <c:pt idx="0">
                  <c:v>Programa de Doctorado en Bioquímica y Biología Molecular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Indicadores!$BM$13</c:f>
              <c:numCache>
                <c:formatCode>0.0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8E-4068-8EAE-54ECE2B30587}"/>
            </c:ext>
          </c:extLst>
        </c:ser>
        <c:ser>
          <c:idx val="2"/>
          <c:order val="2"/>
          <c:tx>
            <c:strRef>
              <c:f>Indicadores!$O$17</c:f>
              <c:strCache>
                <c:ptCount val="1"/>
                <c:pt idx="0">
                  <c:v>Programa de Doctorado en Farmacia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Indicadores!$BM$17</c:f>
              <c:numCache>
                <c:formatCode>0.0</c:formatCode>
                <c:ptCount val="1"/>
                <c:pt idx="0">
                  <c:v>45.5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8E-4068-8EAE-54ECE2B30587}"/>
            </c:ext>
          </c:extLst>
        </c:ser>
        <c:ser>
          <c:idx val="3"/>
          <c:order val="3"/>
          <c:tx>
            <c:strRef>
              <c:f>Indicadores!$O$22</c:f>
              <c:strCache>
                <c:ptCount val="1"/>
                <c:pt idx="0">
                  <c:v>Programa de Doctorado en Medicina Clínica y Salud Pública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Indicadores!$BM$22</c:f>
              <c:numCache>
                <c:formatCode>0.0</c:formatCode>
                <c:ptCount val="1"/>
                <c:pt idx="0">
                  <c:v>91.285714285714292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8E-4068-8EAE-54ECE2B30587}"/>
            </c:ext>
          </c:extLst>
        </c:ser>
        <c:ser>
          <c:idx val="4"/>
          <c:order val="4"/>
          <c:tx>
            <c:strRef>
              <c:f>Indicadores!$O$30</c:f>
              <c:strCache>
                <c:ptCount val="1"/>
                <c:pt idx="0">
                  <c:v>Programa de Doctorado en Nutrición y Ciencias de los Alimentos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Indicadores!$BM$30</c:f>
              <c:numCache>
                <c:formatCode>0.0</c:formatCode>
                <c:ptCount val="1"/>
                <c:pt idx="0">
                  <c:v>38.333333333333336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8E-4068-8EAE-54ECE2B30587}"/>
            </c:ext>
          </c:extLst>
        </c:ser>
        <c:ser>
          <c:idx val="5"/>
          <c:order val="5"/>
          <c:tx>
            <c:strRef>
              <c:f>Indicadores!$O$34</c:f>
              <c:strCache>
                <c:ptCount val="1"/>
                <c:pt idx="0">
                  <c:v>Programa de Doctorado en Psicología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Indicadores!$BM$34</c:f>
              <c:numCache>
                <c:formatCode>0.0</c:formatCode>
                <c:ptCount val="1"/>
                <c:pt idx="0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8E-4068-8EAE-54ECE2B305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9769839"/>
        <c:axId val="1009766511"/>
      </c:barChart>
      <c:catAx>
        <c:axId val="100976983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09766511"/>
        <c:crosses val="autoZero"/>
        <c:auto val="1"/>
        <c:lblAlgn val="ctr"/>
        <c:lblOffset val="100"/>
        <c:noMultiLvlLbl val="0"/>
      </c:catAx>
      <c:valAx>
        <c:axId val="1009766511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009769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sz="1600" b="0"/>
              <a:t>Programa</a:t>
            </a:r>
            <a:r>
              <a:rPr lang="es-ES" sz="1600" b="0" baseline="0"/>
              <a:t> de Doctorado en Biomedicina</a:t>
            </a:r>
            <a:endParaRPr lang="es-ES" sz="1600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Indicadores!$O$5:$T$12</c:f>
              <c:strCache>
                <c:ptCount val="8"/>
                <c:pt idx="0">
                  <c:v>Actividad Física y Deporte</c:v>
                </c:pt>
                <c:pt idx="1">
                  <c:v>Biomedicina Regenerativa</c:v>
                </c:pt>
                <c:pt idx="2">
                  <c:v>Biotecnología en Biomedicina</c:v>
                </c:pt>
                <c:pt idx="3">
                  <c:v>Evolución Humana. Antropología Física y Forense</c:v>
                </c:pt>
                <c:pt idx="4">
                  <c:v>Ingeniería Tisular</c:v>
                </c:pt>
                <c:pt idx="5">
                  <c:v>Inmunología</c:v>
                </c:pt>
                <c:pt idx="6">
                  <c:v>Investigación Traslacional y Medicina Personalizada</c:v>
                </c:pt>
                <c:pt idx="7">
                  <c:v>Neurociencias Básicas</c:v>
                </c:pt>
              </c:strCache>
            </c:strRef>
          </c:cat>
          <c:val>
            <c:numRef>
              <c:f>Indicadores!$U$5:$U$12</c:f>
              <c:numCache>
                <c:formatCode>General</c:formatCode>
                <c:ptCount val="8"/>
                <c:pt idx="0">
                  <c:v>7</c:v>
                </c:pt>
                <c:pt idx="1">
                  <c:v>9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9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1C-47C7-8FDB-E7C360DE70B3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Indicadores!$O$5:$T$12</c:f>
              <c:strCache>
                <c:ptCount val="8"/>
                <c:pt idx="0">
                  <c:v>Actividad Física y Deporte</c:v>
                </c:pt>
                <c:pt idx="1">
                  <c:v>Biomedicina Regenerativa</c:v>
                </c:pt>
                <c:pt idx="2">
                  <c:v>Biotecnología en Biomedicina</c:v>
                </c:pt>
                <c:pt idx="3">
                  <c:v>Evolución Humana. Antropología Física y Forense</c:v>
                </c:pt>
                <c:pt idx="4">
                  <c:v>Ingeniería Tisular</c:v>
                </c:pt>
                <c:pt idx="5">
                  <c:v>Inmunología</c:v>
                </c:pt>
                <c:pt idx="6">
                  <c:v>Investigación Traslacional y Medicina Personalizada</c:v>
                </c:pt>
                <c:pt idx="7">
                  <c:v>Neurociencias Básicas</c:v>
                </c:pt>
              </c:strCache>
            </c:strRef>
          </c:cat>
          <c:val>
            <c:numRef>
              <c:f>Indicadores!$AT$5:$AT$12</c:f>
              <c:numCache>
                <c:formatCode>General</c:formatCode>
                <c:ptCount val="8"/>
                <c:pt idx="0">
                  <c:v>136</c:v>
                </c:pt>
                <c:pt idx="1">
                  <c:v>52</c:v>
                </c:pt>
                <c:pt idx="2">
                  <c:v>6</c:v>
                </c:pt>
                <c:pt idx="3">
                  <c:v>23</c:v>
                </c:pt>
                <c:pt idx="4">
                  <c:v>34</c:v>
                </c:pt>
                <c:pt idx="5">
                  <c:v>79</c:v>
                </c:pt>
                <c:pt idx="6">
                  <c:v>13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1C-47C7-8FDB-E7C360DE70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68325839"/>
        <c:axId val="368323343"/>
      </c:barChart>
      <c:catAx>
        <c:axId val="368325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8323343"/>
        <c:crosses val="autoZero"/>
        <c:auto val="1"/>
        <c:lblAlgn val="ctr"/>
        <c:lblOffset val="100"/>
        <c:noMultiLvlLbl val="0"/>
      </c:catAx>
      <c:valAx>
        <c:axId val="36832334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68325839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 b="0"/>
              <a:t>Programa</a:t>
            </a:r>
            <a:r>
              <a:rPr lang="es-ES" sz="1400" b="0" baseline="0"/>
              <a:t> de Doctorado en Bioquímica </a:t>
            </a:r>
          </a:p>
          <a:p>
            <a:pPr>
              <a:defRPr sz="1400"/>
            </a:pPr>
            <a:r>
              <a:rPr lang="es-ES" sz="1400" b="0" baseline="0"/>
              <a:t>y Biología Molecular</a:t>
            </a:r>
            <a:endParaRPr lang="es-ES" sz="14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Indicadores!$O$14:$T$16</c:f>
              <c:strCache>
                <c:ptCount val="3"/>
                <c:pt idx="0">
                  <c:v>Biología Molecular de protozoos parásitos</c:v>
                </c:pt>
                <c:pt idx="1">
                  <c:v>Bioquímica y Biología Molecular de plantas y microorganismos</c:v>
                </c:pt>
                <c:pt idx="2">
                  <c:v>Bioquímica y Biología molecular en Ciencias de la vida</c:v>
                </c:pt>
              </c:strCache>
            </c:strRef>
          </c:cat>
          <c:val>
            <c:numRef>
              <c:f>Indicadores!$U$14:$U$16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0E-44B8-8F88-C776E49EBCC5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Indicadores!$O$14:$T$16</c:f>
              <c:strCache>
                <c:ptCount val="3"/>
                <c:pt idx="0">
                  <c:v>Biología Molecular de protozoos parásitos</c:v>
                </c:pt>
                <c:pt idx="1">
                  <c:v>Bioquímica y Biología Molecular de plantas y microorganismos</c:v>
                </c:pt>
                <c:pt idx="2">
                  <c:v>Bioquímica y Biología molecular en Ciencias de la vida</c:v>
                </c:pt>
              </c:strCache>
            </c:strRef>
          </c:cat>
          <c:val>
            <c:numRef>
              <c:f>Indicadores!$AT$14:$AT$16</c:f>
              <c:numCache>
                <c:formatCode>General</c:formatCode>
                <c:ptCount val="3"/>
                <c:pt idx="0">
                  <c:v>4</c:v>
                </c:pt>
                <c:pt idx="1">
                  <c:v>52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0E-44B8-8F88-C776E49EBC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64707727"/>
        <c:axId val="464711887"/>
      </c:barChart>
      <c:catAx>
        <c:axId val="464707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4711887"/>
        <c:crosses val="autoZero"/>
        <c:auto val="1"/>
        <c:lblAlgn val="ctr"/>
        <c:lblOffset val="100"/>
        <c:noMultiLvlLbl val="0"/>
      </c:catAx>
      <c:valAx>
        <c:axId val="46471188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64707727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600" b="0"/>
              <a:t>Programa de Doctorado en Farmacia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Indicadores!$O$18:$T$21</c:f>
              <c:strCache>
                <c:ptCount val="4"/>
                <c:pt idx="0">
                  <c:v>Farmacia social</c:v>
                </c:pt>
                <c:pt idx="1">
                  <c:v>Nuevas dianas terapéuticas</c:v>
                </c:pt>
                <c:pt idx="2">
                  <c:v>Química del medicamento</c:v>
                </c:pt>
                <c:pt idx="3">
                  <c:v>Tecnología del medicamento</c:v>
                </c:pt>
              </c:strCache>
            </c:strRef>
          </c:cat>
          <c:val>
            <c:numRef>
              <c:f>Indicadores!$U$18:$U$21</c:f>
              <c:numCache>
                <c:formatCode>General</c:formatCode>
                <c:ptCount val="4"/>
                <c:pt idx="0">
                  <c:v>13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4-44E1-A909-9B01C5B70338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Indicadores!$O$18:$T$21</c:f>
              <c:strCache>
                <c:ptCount val="4"/>
                <c:pt idx="0">
                  <c:v>Farmacia social</c:v>
                </c:pt>
                <c:pt idx="1">
                  <c:v>Nuevas dianas terapéuticas</c:v>
                </c:pt>
                <c:pt idx="2">
                  <c:v>Química del medicamento</c:v>
                </c:pt>
                <c:pt idx="3">
                  <c:v>Tecnología del medicamento</c:v>
                </c:pt>
              </c:strCache>
            </c:strRef>
          </c:cat>
          <c:val>
            <c:numRef>
              <c:f>Indicadores!$AT$18:$AT$21</c:f>
              <c:numCache>
                <c:formatCode>General</c:formatCode>
                <c:ptCount val="4"/>
                <c:pt idx="0">
                  <c:v>102</c:v>
                </c:pt>
                <c:pt idx="1">
                  <c:v>34</c:v>
                </c:pt>
                <c:pt idx="2">
                  <c:v>30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A4-44E1-A909-9B01C5B703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64498255"/>
        <c:axId val="364499503"/>
      </c:barChart>
      <c:catAx>
        <c:axId val="364498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499503"/>
        <c:crosses val="autoZero"/>
        <c:auto val="1"/>
        <c:lblAlgn val="ctr"/>
        <c:lblOffset val="100"/>
        <c:noMultiLvlLbl val="0"/>
      </c:catAx>
      <c:valAx>
        <c:axId val="3644995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64498255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600" b="0" i="0" u="none" strike="noStrike" baseline="0">
                <a:effectLst/>
              </a:rPr>
              <a:t>Programa de Doctorado en Medicina </a:t>
            </a:r>
          </a:p>
          <a:p>
            <a:pPr>
              <a:defRPr/>
            </a:pPr>
            <a:r>
              <a:rPr lang="es-ES" sz="1600" b="0" i="0" u="none" strike="noStrike" baseline="0">
                <a:effectLst/>
              </a:rPr>
              <a:t>Clínica y Salud Pública</a:t>
            </a:r>
            <a:endParaRPr lang="es-ES" sz="16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Indicadores!$O$23:$T$29</c:f>
              <c:strCache>
                <c:ptCount val="7"/>
                <c:pt idx="0">
                  <c:v>Agentes infecciosos relacionados con los procesos clínicos</c:v>
                </c:pt>
                <c:pt idx="1">
                  <c:v>Epidemiología y Salud Pública</c:v>
                </c:pt>
                <c:pt idx="2">
                  <c:v>Farmacología Clínica</c:v>
                </c:pt>
                <c:pt idx="3">
                  <c:v>Fisiopatología de las enfermedades médico-quirúrgicas</c:v>
                </c:pt>
                <c:pt idx="4">
                  <c:v>Investigación en odontología clínica</c:v>
                </c:pt>
                <c:pt idx="5">
                  <c:v>Neurociencias clínicas y dolor</c:v>
                </c:pt>
                <c:pt idx="6">
                  <c:v>Radiología y medicina física</c:v>
                </c:pt>
              </c:strCache>
            </c:strRef>
          </c:cat>
          <c:val>
            <c:numRef>
              <c:f>Indicadores!$U$23:$U$29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23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A-4AD7-BFAC-4DA1BED38BB1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Indicadores!$O$23:$T$29</c:f>
              <c:strCache>
                <c:ptCount val="7"/>
                <c:pt idx="0">
                  <c:v>Agentes infecciosos relacionados con los procesos clínicos</c:v>
                </c:pt>
                <c:pt idx="1">
                  <c:v>Epidemiología y Salud Pública</c:v>
                </c:pt>
                <c:pt idx="2">
                  <c:v>Farmacología Clínica</c:v>
                </c:pt>
                <c:pt idx="3">
                  <c:v>Fisiopatología de las enfermedades médico-quirúrgicas</c:v>
                </c:pt>
                <c:pt idx="4">
                  <c:v>Investigación en odontología clínica</c:v>
                </c:pt>
                <c:pt idx="5">
                  <c:v>Neurociencias clínicas y dolor</c:v>
                </c:pt>
                <c:pt idx="6">
                  <c:v>Radiología y medicina física</c:v>
                </c:pt>
              </c:strCache>
            </c:strRef>
          </c:cat>
          <c:val>
            <c:numRef>
              <c:f>Indicadores!$AT$23:$AT$29</c:f>
              <c:numCache>
                <c:formatCode>General</c:formatCode>
                <c:ptCount val="7"/>
                <c:pt idx="0">
                  <c:v>21</c:v>
                </c:pt>
                <c:pt idx="1">
                  <c:v>69</c:v>
                </c:pt>
                <c:pt idx="2">
                  <c:v>58</c:v>
                </c:pt>
                <c:pt idx="3">
                  <c:v>359</c:v>
                </c:pt>
                <c:pt idx="4">
                  <c:v>16</c:v>
                </c:pt>
                <c:pt idx="5">
                  <c:v>11</c:v>
                </c:pt>
                <c:pt idx="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A-4AD7-BFAC-4DA1BED38B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65485791"/>
        <c:axId val="465487455"/>
      </c:barChart>
      <c:catAx>
        <c:axId val="465485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5487455"/>
        <c:crosses val="autoZero"/>
        <c:auto val="1"/>
        <c:lblAlgn val="ctr"/>
        <c:lblOffset val="100"/>
        <c:noMultiLvlLbl val="0"/>
      </c:catAx>
      <c:valAx>
        <c:axId val="4654874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65485791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600" b="0" i="0" u="none" strike="noStrike" baseline="0">
                <a:effectLst/>
              </a:rPr>
              <a:t>Programa de Doctorado en Psicología</a:t>
            </a:r>
            <a:endParaRPr lang="es-ES" sz="16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Indicadores!$O$35:$T$39</c:f>
              <c:strCache>
                <c:ptCount val="5"/>
                <c:pt idx="0">
                  <c:v>	Neurociencia del Comportamiento, Cognitiva y Afectiva</c:v>
                </c:pt>
                <c:pt idx="1">
                  <c:v>	Psicología Clínica y de la Salud</c:v>
                </c:pt>
                <c:pt idx="2">
                  <c:v>	Psicología Experimental y Aplicada</c:v>
                </c:pt>
                <c:pt idx="3">
                  <c:v>	Psicología Social y Educativa</c:v>
                </c:pt>
                <c:pt idx="4">
                  <c:v>Metodología de Investigación y medición en psicología y salud</c:v>
                </c:pt>
              </c:strCache>
            </c:strRef>
          </c:cat>
          <c:val>
            <c:numRef>
              <c:f>Indicadores!$U$35:$U$39</c:f>
              <c:numCache>
                <c:formatCode>General</c:formatCode>
                <c:ptCount val="5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9-44EC-89AB-3404C00A01D5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Indicadores!$O$35:$T$39</c:f>
              <c:strCache>
                <c:ptCount val="5"/>
                <c:pt idx="0">
                  <c:v>	Neurociencia del Comportamiento, Cognitiva y Afectiva</c:v>
                </c:pt>
                <c:pt idx="1">
                  <c:v>	Psicología Clínica y de la Salud</c:v>
                </c:pt>
                <c:pt idx="2">
                  <c:v>	Psicología Experimental y Aplicada</c:v>
                </c:pt>
                <c:pt idx="3">
                  <c:v>	Psicología Social y Educativa</c:v>
                </c:pt>
                <c:pt idx="4">
                  <c:v>Metodología de Investigación y medición en psicología y salud</c:v>
                </c:pt>
              </c:strCache>
            </c:strRef>
          </c:cat>
          <c:val>
            <c:numRef>
              <c:f>Indicadores!$AT$35:$AT$39</c:f>
              <c:numCache>
                <c:formatCode>General</c:formatCode>
                <c:ptCount val="5"/>
                <c:pt idx="0">
                  <c:v>46</c:v>
                </c:pt>
                <c:pt idx="1">
                  <c:v>38</c:v>
                </c:pt>
                <c:pt idx="2">
                  <c:v>15</c:v>
                </c:pt>
                <c:pt idx="3">
                  <c:v>1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A9-44EC-89AB-3404C00A01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64930751"/>
        <c:axId val="364925759"/>
      </c:barChart>
      <c:catAx>
        <c:axId val="364930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925759"/>
        <c:crosses val="autoZero"/>
        <c:auto val="1"/>
        <c:lblAlgn val="ctr"/>
        <c:lblOffset val="100"/>
        <c:noMultiLvlLbl val="0"/>
      </c:catAx>
      <c:valAx>
        <c:axId val="36492575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64930751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Programa de Doctorado en Nutrición y Ciencias de los Alimentos</a:t>
            </a:r>
            <a:endParaRPr lang="es-ES"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Indicadores!$O$31:$T$33</c:f>
              <c:strCache>
                <c:ptCount val="3"/>
                <c:pt idx="0">
                  <c:v>Bioquímica nutricional</c:v>
                </c:pt>
                <c:pt idx="1">
                  <c:v>Estudios nutricionales. Diseño, calidad y seguridad de los alimentos</c:v>
                </c:pt>
                <c:pt idx="2">
                  <c:v>Nutrición humana y experimental en situaciones fisiológicas y patológicas. Valoración nutricional</c:v>
                </c:pt>
              </c:strCache>
            </c:strRef>
          </c:cat>
          <c:val>
            <c:numRef>
              <c:f>Indicadores!$U$31:$U$33</c:f>
              <c:numCache>
                <c:formatCode>General</c:formatCode>
                <c:ptCount val="3"/>
                <c:pt idx="0">
                  <c:v>2</c:v>
                </c:pt>
                <c:pt idx="1">
                  <c:v>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A7-466E-AD73-2F2FB350E51D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Indicadores!$O$31:$T$33</c:f>
              <c:strCache>
                <c:ptCount val="3"/>
                <c:pt idx="0">
                  <c:v>Bioquímica nutricional</c:v>
                </c:pt>
                <c:pt idx="1">
                  <c:v>Estudios nutricionales. Diseño, calidad y seguridad de los alimentos</c:v>
                </c:pt>
                <c:pt idx="2">
                  <c:v>Nutrición humana y experimental en situaciones fisiológicas y patológicas. Valoración nutricional</c:v>
                </c:pt>
              </c:strCache>
            </c:strRef>
          </c:cat>
          <c:val>
            <c:numRef>
              <c:f>Indicadores!$AT$31:$AT$33</c:f>
              <c:numCache>
                <c:formatCode>General</c:formatCode>
                <c:ptCount val="3"/>
                <c:pt idx="0">
                  <c:v>17</c:v>
                </c:pt>
                <c:pt idx="1">
                  <c:v>32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A7-466E-AD73-2F2FB350E5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08340271"/>
        <c:axId val="1108331119"/>
      </c:barChart>
      <c:catAx>
        <c:axId val="1108340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08331119"/>
        <c:crosses val="autoZero"/>
        <c:auto val="1"/>
        <c:lblAlgn val="ctr"/>
        <c:lblOffset val="100"/>
        <c:noMultiLvlLbl val="0"/>
      </c:catAx>
      <c:valAx>
        <c:axId val="110833111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08340271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 cap="none" baseline="0"/>
              <a:t>Alumnos por Programa de la Escuela de Doctorado </a:t>
            </a:r>
          </a:p>
          <a:p>
            <a:pPr>
              <a:defRPr/>
            </a:pPr>
            <a:r>
              <a:rPr lang="en-US" b="0" cap="none" baseline="0"/>
              <a:t>de Ciencias, Tecnologías e Ingenierías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Indicadores!$O$40</c:f>
              <c:strCache>
                <c:ptCount val="1"/>
                <c:pt idx="0">
                  <c:v>Escuela de Doctorado de Ciencias, Tecnologías e Ingenierías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(Indicadores!$O$41,Indicadores!$O$52,Indicadores!$O$60,Indicadores!$O$64,Indicadores!$O$67,Indicadores!$O$75,Indicadores!$O$85,Indicadores!$O$92,Indicadores!$O$95,Indicadores!$O$104)</c:f>
              <c:strCache>
                <c:ptCount val="10"/>
                <c:pt idx="0">
                  <c:v>Programa de Doctorado en Biología Fundamental y de Sistemas</c:v>
                </c:pt>
                <c:pt idx="1">
                  <c:v>Programa de Doctorado en Ciencias de la Tierra</c:v>
                </c:pt>
                <c:pt idx="2">
                  <c:v>Programa de Doctorado en Dinámica de Flujos Biogeoquímicos y sus Aplicaciones</c:v>
                </c:pt>
                <c:pt idx="3">
                  <c:v>Programa de Doctorado en Estadística Matemática y Aplicada</c:v>
                </c:pt>
                <c:pt idx="4">
                  <c:v>Programa de Doctorado en Física y Ciencias del Espacio</c:v>
                </c:pt>
                <c:pt idx="5">
                  <c:v>Programa de Doctorado en Física y Matemáticas</c:v>
                </c:pt>
                <c:pt idx="6">
                  <c:v>Programa de Doctorado en Ingeniería Civil</c:v>
                </c:pt>
                <c:pt idx="7">
                  <c:v>Programa de Doctorado en Matemáticas</c:v>
                </c:pt>
                <c:pt idx="8">
                  <c:v>Programa de Doctorado en Química</c:v>
                </c:pt>
                <c:pt idx="9">
                  <c:v>Programa de Doctorado en Tecnologías de la información y la Comunicación</c:v>
                </c:pt>
              </c:strCache>
            </c:strRef>
          </c:cat>
          <c:val>
            <c:numRef>
              <c:f>(Indicadores!$U$41,Indicadores!$U$52,Indicadores!$U$60,Indicadores!$U$64,Indicadores!$U$67,Indicadores!$U$75,Indicadores!$U$85,Indicadores!$U$92,Indicadores!$U$95,Indicadores!$U$104)</c:f>
              <c:numCache>
                <c:formatCode>General</c:formatCode>
                <c:ptCount val="10"/>
                <c:pt idx="0">
                  <c:v>17</c:v>
                </c:pt>
                <c:pt idx="1">
                  <c:v>8</c:v>
                </c:pt>
                <c:pt idx="2">
                  <c:v>7</c:v>
                </c:pt>
                <c:pt idx="3">
                  <c:v>2</c:v>
                </c:pt>
                <c:pt idx="4">
                  <c:v>17</c:v>
                </c:pt>
                <c:pt idx="5">
                  <c:v>19</c:v>
                </c:pt>
                <c:pt idx="6">
                  <c:v>12</c:v>
                </c:pt>
                <c:pt idx="7">
                  <c:v>2</c:v>
                </c:pt>
                <c:pt idx="8">
                  <c:v>20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2-4D87-8B5F-2B008E091F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40504176"/>
        <c:axId val="1240510416"/>
      </c:barChart>
      <c:catAx>
        <c:axId val="1240504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50" b="0" i="0" u="none" strike="noStrike" kern="1200" cap="none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40510416"/>
        <c:crosses val="autoZero"/>
        <c:auto val="1"/>
        <c:lblAlgn val="ctr"/>
        <c:lblOffset val="100"/>
        <c:noMultiLvlLbl val="0"/>
      </c:catAx>
      <c:valAx>
        <c:axId val="12405104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4050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0" cap="none" baseline="0"/>
              <a:t>Número publicaciones por programa de la Escuela de Doctorado de Ciencias, Tecnologías e Ingenierías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(Indicadores!$O$41,Indicadores!$O$52,Indicadores!$O$60,Indicadores!$O$64,Indicadores!$O$67,Indicadores!$O$75,Indicadores!$O$85,Indicadores!$O$92,Indicadores!$O$95,Indicadores!$O$104)</c:f>
              <c:strCache>
                <c:ptCount val="10"/>
                <c:pt idx="0">
                  <c:v>Programa de Doctorado en Biología Fundamental y de Sistemas</c:v>
                </c:pt>
                <c:pt idx="1">
                  <c:v>Programa de Doctorado en Ciencias de la Tierra</c:v>
                </c:pt>
                <c:pt idx="2">
                  <c:v>Programa de Doctorado en Dinámica de Flujos Biogeoquímicos y sus Aplicaciones</c:v>
                </c:pt>
                <c:pt idx="3">
                  <c:v>Programa de Doctorado en Estadística Matemática y Aplicada</c:v>
                </c:pt>
                <c:pt idx="4">
                  <c:v>Programa de Doctorado en Física y Ciencias del Espacio</c:v>
                </c:pt>
                <c:pt idx="5">
                  <c:v>Programa de Doctorado en Física y Matemáticas</c:v>
                </c:pt>
                <c:pt idx="6">
                  <c:v>Programa de Doctorado en Ingeniería Civil</c:v>
                </c:pt>
                <c:pt idx="7">
                  <c:v>Programa de Doctorado en Matemáticas</c:v>
                </c:pt>
                <c:pt idx="8">
                  <c:v>Programa de Doctorado en Química</c:v>
                </c:pt>
                <c:pt idx="9">
                  <c:v>Programa de Doctorado en Tecnologías de la información y la Comunicación</c:v>
                </c:pt>
              </c:strCache>
            </c:strRef>
          </c:cat>
          <c:val>
            <c:numRef>
              <c:f>(Indicadores!$AT$41,Indicadores!$AT$52,Indicadores!$AT$60,Indicadores!$AT$64,Indicadores!$AT$67,Indicadores!$AT$75,Indicadores!$AT$85,Indicadores!$AT$92,Indicadores!$AT$95,Indicadores!$AT$104)</c:f>
              <c:numCache>
                <c:formatCode>General</c:formatCode>
                <c:ptCount val="10"/>
                <c:pt idx="0">
                  <c:v>121</c:v>
                </c:pt>
                <c:pt idx="1">
                  <c:v>47</c:v>
                </c:pt>
                <c:pt idx="2">
                  <c:v>69</c:v>
                </c:pt>
                <c:pt idx="3">
                  <c:v>4</c:v>
                </c:pt>
                <c:pt idx="4">
                  <c:v>143</c:v>
                </c:pt>
                <c:pt idx="5">
                  <c:v>236</c:v>
                </c:pt>
                <c:pt idx="6">
                  <c:v>58</c:v>
                </c:pt>
                <c:pt idx="7">
                  <c:v>2</c:v>
                </c:pt>
                <c:pt idx="8">
                  <c:v>137</c:v>
                </c:pt>
                <c:pt idx="9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2-43EF-87C6-2F7693E51A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73353472"/>
        <c:axId val="1173354304"/>
      </c:barChart>
      <c:catAx>
        <c:axId val="1173353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50" b="0" i="0" u="none" strike="noStrike" kern="1200" cap="none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73354304"/>
        <c:crosses val="autoZero"/>
        <c:auto val="1"/>
        <c:lblAlgn val="ctr"/>
        <c:lblOffset val="100"/>
        <c:noMultiLvlLbl val="0"/>
      </c:catAx>
      <c:valAx>
        <c:axId val="117335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7335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ES"/>
              <a:t>Promedio total de publicaciones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rgbClr val="F8F8F8"/>
                </a:gs>
                <a:gs pos="0">
                  <a:srgbClr val="A30909"/>
                </a:gs>
                <a:gs pos="52000">
                  <a:srgbClr val="700606"/>
                </a:gs>
                <a:gs pos="91000">
                  <a:srgbClr val="570505"/>
                </a:gs>
              </a:gsLst>
              <a:lin ang="16200000" scaled="1"/>
              <a:tileRect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Indicadores!$BN$2:$BR$2</c:f>
              <c:numCache>
                <c:formatCode>0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Indicadores!$BN$181:$BR$181</c:f>
              <c:numCache>
                <c:formatCode>0.0</c:formatCode>
                <c:ptCount val="5"/>
                <c:pt idx="0">
                  <c:v>3.3333333333333335</c:v>
                </c:pt>
                <c:pt idx="1">
                  <c:v>55</c:v>
                </c:pt>
                <c:pt idx="2">
                  <c:v>219.33333333333334</c:v>
                </c:pt>
                <c:pt idx="3">
                  <c:v>356</c:v>
                </c:pt>
                <c:pt idx="4">
                  <c:v>430.66666666666669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6-41CF-AB22-170AB30CE01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120347007"/>
        <c:axId val="1120348671"/>
      </c:barChart>
      <c:catAx>
        <c:axId val="1120347007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20348671"/>
        <c:crosses val="autoZero"/>
        <c:auto val="1"/>
        <c:lblAlgn val="ctr"/>
        <c:lblOffset val="100"/>
        <c:noMultiLvlLbl val="0"/>
      </c:catAx>
      <c:valAx>
        <c:axId val="1120348671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120347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Número</a:t>
            </a:r>
            <a:r>
              <a:rPr lang="es-ES" baseline="0"/>
              <a:t> de alumnos por género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Indicadores!$V$2</c:f>
              <c:strCache>
                <c:ptCount val="1"/>
                <c:pt idx="0">
                  <c:v>Hombres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60000"/>
                    <a:lumOff val="40000"/>
                  </a:schemeClr>
                </a:gs>
                <a:gs pos="56000">
                  <a:schemeClr val="accent5">
                    <a:lumMod val="75000"/>
                  </a:schemeClr>
                </a:gs>
                <a:gs pos="100000">
                  <a:schemeClr val="accent5">
                    <a:lumMod val="50000"/>
                  </a:schemeClr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(Indicadores!$O$104,Indicadores!$O$95,Indicadores!$O$92,Indicadores!$O$85,Indicadores!$O$75,Indicadores!$O$67,Indicadores!$O$64,Indicadores!$O$60,Indicadores!$O$52,Indicadores!$O$41)</c:f>
              <c:strCache>
                <c:ptCount val="10"/>
                <c:pt idx="0">
                  <c:v>Programa de Doctorado en Tecnologías de la información y la Comunicación</c:v>
                </c:pt>
                <c:pt idx="1">
                  <c:v>Programa de Doctorado en Química</c:v>
                </c:pt>
                <c:pt idx="2">
                  <c:v>Programa de Doctorado en Matemáticas</c:v>
                </c:pt>
                <c:pt idx="3">
                  <c:v>Programa de Doctorado en Ingeniería Civil</c:v>
                </c:pt>
                <c:pt idx="4">
                  <c:v>Programa de Doctorado en Física y Matemáticas</c:v>
                </c:pt>
                <c:pt idx="5">
                  <c:v>Programa de Doctorado en Física y Ciencias del Espacio</c:v>
                </c:pt>
                <c:pt idx="6">
                  <c:v>Programa de Doctorado en Estadística Matemática y Aplicada</c:v>
                </c:pt>
                <c:pt idx="7">
                  <c:v>Programa de Doctorado en Dinámica de Flujos Biogeoquímicos y sus Aplicaciones</c:v>
                </c:pt>
                <c:pt idx="8">
                  <c:v>Programa de Doctorado en Ciencias de la Tierra</c:v>
                </c:pt>
                <c:pt idx="9">
                  <c:v>Programa de Doctorado en Biología Fundamental y de Sistemas</c:v>
                </c:pt>
              </c:strCache>
            </c:strRef>
          </c:cat>
          <c:val>
            <c:numRef>
              <c:f>(Indicadores!$V$104,Indicadores!$V$95,Indicadores!$V$92,Indicadores!$V$85,Indicadores!$V$75,Indicadores!$V$67,Indicadores!$V$64,Indicadores!$V$60,Indicadores!$V$52,Indicadores!$V$41)</c:f>
              <c:numCache>
                <c:formatCode>General</c:formatCode>
                <c:ptCount val="10"/>
                <c:pt idx="0">
                  <c:v>10</c:v>
                </c:pt>
                <c:pt idx="1">
                  <c:v>7</c:v>
                </c:pt>
                <c:pt idx="2">
                  <c:v>2</c:v>
                </c:pt>
                <c:pt idx="3">
                  <c:v>8</c:v>
                </c:pt>
                <c:pt idx="4">
                  <c:v>13</c:v>
                </c:pt>
                <c:pt idx="5">
                  <c:v>12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49C-870C-AB714ACE50FC}"/>
            </c:ext>
          </c:extLst>
        </c:ser>
        <c:ser>
          <c:idx val="1"/>
          <c:order val="1"/>
          <c:tx>
            <c:strRef>
              <c:f>Indicadores!$W$2</c:f>
              <c:strCache>
                <c:ptCount val="1"/>
                <c:pt idx="0">
                  <c:v>Mujeres</c:v>
                </c:pt>
              </c:strCache>
            </c:strRef>
          </c:tx>
          <c:spPr>
            <a:gradFill>
              <a:gsLst>
                <a:gs pos="0">
                  <a:srgbClr val="C10B0B"/>
                </a:gs>
                <a:gs pos="52000">
                  <a:srgbClr val="8E0808"/>
                </a:gs>
                <a:gs pos="100000">
                  <a:srgbClr val="570505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(Indicadores!$O$104,Indicadores!$O$95,Indicadores!$O$92,Indicadores!$O$85,Indicadores!$O$75,Indicadores!$O$67,Indicadores!$O$64,Indicadores!$O$60,Indicadores!$O$52,Indicadores!$O$41)</c:f>
              <c:strCache>
                <c:ptCount val="10"/>
                <c:pt idx="0">
                  <c:v>Programa de Doctorado en Tecnologías de la información y la Comunicación</c:v>
                </c:pt>
                <c:pt idx="1">
                  <c:v>Programa de Doctorado en Química</c:v>
                </c:pt>
                <c:pt idx="2">
                  <c:v>Programa de Doctorado en Matemáticas</c:v>
                </c:pt>
                <c:pt idx="3">
                  <c:v>Programa de Doctorado en Ingeniería Civil</c:v>
                </c:pt>
                <c:pt idx="4">
                  <c:v>Programa de Doctorado en Física y Matemáticas</c:v>
                </c:pt>
                <c:pt idx="5">
                  <c:v>Programa de Doctorado en Física y Ciencias del Espacio</c:v>
                </c:pt>
                <c:pt idx="6">
                  <c:v>Programa de Doctorado en Estadística Matemática y Aplicada</c:v>
                </c:pt>
                <c:pt idx="7">
                  <c:v>Programa de Doctorado en Dinámica de Flujos Biogeoquímicos y sus Aplicaciones</c:v>
                </c:pt>
                <c:pt idx="8">
                  <c:v>Programa de Doctorado en Ciencias de la Tierra</c:v>
                </c:pt>
                <c:pt idx="9">
                  <c:v>Programa de Doctorado en Biología Fundamental y de Sistemas</c:v>
                </c:pt>
              </c:strCache>
            </c:strRef>
          </c:cat>
          <c:val>
            <c:numRef>
              <c:f>(Indicadores!$W$104,Indicadores!$W$95,Indicadores!$W$92,Indicadores!$W$85,Indicadores!$W$75,Indicadores!$W$67,Indicadores!$W$64,Indicadores!$W$60,Indicadores!$W$52,Indicadores!$W$41)</c:f>
              <c:numCache>
                <c:formatCode>General</c:formatCode>
                <c:ptCount val="10"/>
                <c:pt idx="0">
                  <c:v>4</c:v>
                </c:pt>
                <c:pt idx="1">
                  <c:v>13</c:v>
                </c:pt>
                <c:pt idx="2">
                  <c:v>0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49C-870C-AB714ACE50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19197311"/>
        <c:axId val="1119196479"/>
      </c:barChart>
      <c:catAx>
        <c:axId val="11191973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19196479"/>
        <c:crosses val="autoZero"/>
        <c:auto val="1"/>
        <c:lblAlgn val="ctr"/>
        <c:lblOffset val="100"/>
        <c:noMultiLvlLbl val="0"/>
      </c:catAx>
      <c:valAx>
        <c:axId val="111919647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19197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Número</a:t>
            </a:r>
            <a:r>
              <a:rPr lang="es-ES" baseline="0"/>
              <a:t> de publicaciones por género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Indicadores!$AU$2</c:f>
              <c:strCache>
                <c:ptCount val="1"/>
                <c:pt idx="0">
                  <c:v>Hombres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60000"/>
                    <a:lumOff val="40000"/>
                  </a:schemeClr>
                </a:gs>
                <a:gs pos="56000">
                  <a:schemeClr val="accent5">
                    <a:lumMod val="75000"/>
                  </a:schemeClr>
                </a:gs>
                <a:gs pos="100000">
                  <a:schemeClr val="accent5">
                    <a:lumMod val="50000"/>
                  </a:schemeClr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(Indicadores!$O$104,Indicadores!$O$95,Indicadores!$O$92,Indicadores!$O$85,Indicadores!$O$75,Indicadores!$O$67,Indicadores!$O$64,Indicadores!$O$60,Indicadores!$O$52,Indicadores!$O$41)</c:f>
              <c:strCache>
                <c:ptCount val="10"/>
                <c:pt idx="0">
                  <c:v>Programa de Doctorado en Tecnologías de la información y la Comunicación</c:v>
                </c:pt>
                <c:pt idx="1">
                  <c:v>Programa de Doctorado en Química</c:v>
                </c:pt>
                <c:pt idx="2">
                  <c:v>Programa de Doctorado en Matemáticas</c:v>
                </c:pt>
                <c:pt idx="3">
                  <c:v>Programa de Doctorado en Ingeniería Civil</c:v>
                </c:pt>
                <c:pt idx="4">
                  <c:v>Programa de Doctorado en Física y Matemáticas</c:v>
                </c:pt>
                <c:pt idx="5">
                  <c:v>Programa de Doctorado en Física y Ciencias del Espacio</c:v>
                </c:pt>
                <c:pt idx="6">
                  <c:v>Programa de Doctorado en Estadística Matemática y Aplicada</c:v>
                </c:pt>
                <c:pt idx="7">
                  <c:v>Programa de Doctorado en Dinámica de Flujos Biogeoquímicos y sus Aplicaciones</c:v>
                </c:pt>
                <c:pt idx="8">
                  <c:v>Programa de Doctorado en Ciencias de la Tierra</c:v>
                </c:pt>
                <c:pt idx="9">
                  <c:v>Programa de Doctorado en Biología Fundamental y de Sistemas</c:v>
                </c:pt>
              </c:strCache>
            </c:strRef>
          </c:cat>
          <c:val>
            <c:numRef>
              <c:f>(Indicadores!$AU$104,Indicadores!$AU$95,Indicadores!$AU$92,Indicadores!$AU$85,Indicadores!$AU$75,Indicadores!$AU$67,Indicadores!$AU$64,Indicadores!$AU$60,Indicadores!$AU$52,Indicadores!$AU$41)</c:f>
              <c:numCache>
                <c:formatCode>General</c:formatCode>
                <c:ptCount val="10"/>
                <c:pt idx="0">
                  <c:v>77</c:v>
                </c:pt>
                <c:pt idx="1">
                  <c:v>41</c:v>
                </c:pt>
                <c:pt idx="2">
                  <c:v>2</c:v>
                </c:pt>
                <c:pt idx="3">
                  <c:v>47</c:v>
                </c:pt>
                <c:pt idx="4">
                  <c:v>153</c:v>
                </c:pt>
                <c:pt idx="5">
                  <c:v>105</c:v>
                </c:pt>
                <c:pt idx="6">
                  <c:v>4</c:v>
                </c:pt>
                <c:pt idx="7">
                  <c:v>39</c:v>
                </c:pt>
                <c:pt idx="8">
                  <c:v>29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9-4FF0-8F34-68C6872A8468}"/>
            </c:ext>
          </c:extLst>
        </c:ser>
        <c:ser>
          <c:idx val="1"/>
          <c:order val="1"/>
          <c:tx>
            <c:strRef>
              <c:f>Indicadores!$AV$2</c:f>
              <c:strCache>
                <c:ptCount val="1"/>
                <c:pt idx="0">
                  <c:v>Mujeres</c:v>
                </c:pt>
              </c:strCache>
            </c:strRef>
          </c:tx>
          <c:spPr>
            <a:gradFill>
              <a:gsLst>
                <a:gs pos="0">
                  <a:srgbClr val="C10B0B"/>
                </a:gs>
                <a:gs pos="52000">
                  <a:srgbClr val="8E0808"/>
                </a:gs>
                <a:gs pos="100000">
                  <a:srgbClr val="570505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(Indicadores!$O$104,Indicadores!$O$95,Indicadores!$O$92,Indicadores!$O$85,Indicadores!$O$75,Indicadores!$O$67,Indicadores!$O$64,Indicadores!$O$60,Indicadores!$O$52,Indicadores!$O$41)</c:f>
              <c:strCache>
                <c:ptCount val="10"/>
                <c:pt idx="0">
                  <c:v>Programa de Doctorado en Tecnologías de la información y la Comunicación</c:v>
                </c:pt>
                <c:pt idx="1">
                  <c:v>Programa de Doctorado en Química</c:v>
                </c:pt>
                <c:pt idx="2">
                  <c:v>Programa de Doctorado en Matemáticas</c:v>
                </c:pt>
                <c:pt idx="3">
                  <c:v>Programa de Doctorado en Ingeniería Civil</c:v>
                </c:pt>
                <c:pt idx="4">
                  <c:v>Programa de Doctorado en Física y Matemáticas</c:v>
                </c:pt>
                <c:pt idx="5">
                  <c:v>Programa de Doctorado en Física y Ciencias del Espacio</c:v>
                </c:pt>
                <c:pt idx="6">
                  <c:v>Programa de Doctorado en Estadística Matemática y Aplicada</c:v>
                </c:pt>
                <c:pt idx="7">
                  <c:v>Programa de Doctorado en Dinámica de Flujos Biogeoquímicos y sus Aplicaciones</c:v>
                </c:pt>
                <c:pt idx="8">
                  <c:v>Programa de Doctorado en Ciencias de la Tierra</c:v>
                </c:pt>
                <c:pt idx="9">
                  <c:v>Programa de Doctorado en Biología Fundamental y de Sistemas</c:v>
                </c:pt>
              </c:strCache>
            </c:strRef>
          </c:cat>
          <c:val>
            <c:numRef>
              <c:f>(Indicadores!$AV$104,Indicadores!$AV$95,Indicadores!$AV$92,Indicadores!$AV$85,Indicadores!$AV$75,Indicadores!$AV$67,Indicadores!$AV$64,Indicadores!$AV$60,Indicadores!$AV$52,Indicadores!$AV$41)</c:f>
              <c:numCache>
                <c:formatCode>General</c:formatCode>
                <c:ptCount val="10"/>
                <c:pt idx="0">
                  <c:v>31</c:v>
                </c:pt>
                <c:pt idx="1">
                  <c:v>96</c:v>
                </c:pt>
                <c:pt idx="2">
                  <c:v>0</c:v>
                </c:pt>
                <c:pt idx="3">
                  <c:v>11</c:v>
                </c:pt>
                <c:pt idx="4">
                  <c:v>83</c:v>
                </c:pt>
                <c:pt idx="5">
                  <c:v>38</c:v>
                </c:pt>
                <c:pt idx="6">
                  <c:v>0</c:v>
                </c:pt>
                <c:pt idx="7">
                  <c:v>30</c:v>
                </c:pt>
                <c:pt idx="8">
                  <c:v>18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29-4FF0-8F34-68C6872A84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17170415"/>
        <c:axId val="917171247"/>
      </c:barChart>
      <c:catAx>
        <c:axId val="917170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17171247"/>
        <c:crosses val="autoZero"/>
        <c:auto val="1"/>
        <c:lblAlgn val="ctr"/>
        <c:lblOffset val="100"/>
        <c:noMultiLvlLbl val="0"/>
      </c:catAx>
      <c:valAx>
        <c:axId val="91717124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7170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 b="0" i="0" baseline="0">
                <a:effectLst/>
              </a:rPr>
              <a:t>Relación de alumnos por curso académico </a:t>
            </a:r>
          </a:p>
          <a:p>
            <a:pPr>
              <a:defRPr/>
            </a:pPr>
            <a:r>
              <a:rPr lang="es-ES" sz="1600" b="0" i="0" baseline="0">
                <a:effectLst/>
              </a:rPr>
              <a:t>y Programa de Doctorado</a:t>
            </a:r>
            <a:endParaRPr lang="es-E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Indicadores!$O$41</c:f>
              <c:strCache>
                <c:ptCount val="1"/>
                <c:pt idx="0">
                  <c:v>Programa de Doctorado en Biología Fundamental y de Sistemas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Indicadores!$X$41:$AB$41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C3-450D-AA82-FC1808C010CE}"/>
            </c:ext>
          </c:extLst>
        </c:ser>
        <c:ser>
          <c:idx val="1"/>
          <c:order val="1"/>
          <c:tx>
            <c:strRef>
              <c:f>Indicadores!$O$52</c:f>
              <c:strCache>
                <c:ptCount val="1"/>
                <c:pt idx="0">
                  <c:v>Programa de Doctorado en Ciencias de la Tierra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Indicadores!$X$52:$AB$52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C3-450D-AA82-FC1808C010CE}"/>
            </c:ext>
          </c:extLst>
        </c:ser>
        <c:ser>
          <c:idx val="2"/>
          <c:order val="2"/>
          <c:tx>
            <c:strRef>
              <c:f>Indicadores!$O$60</c:f>
              <c:strCache>
                <c:ptCount val="1"/>
                <c:pt idx="0">
                  <c:v>Programa de Doctorado en Dinámica de Flujos Biogeoquímicos y sus Aplicaciones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Indicadores!$X$60:$AB$60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C3-450D-AA82-FC1808C010CE}"/>
            </c:ext>
          </c:extLst>
        </c:ser>
        <c:ser>
          <c:idx val="3"/>
          <c:order val="3"/>
          <c:tx>
            <c:strRef>
              <c:f>Indicadores!$O$64</c:f>
              <c:strCache>
                <c:ptCount val="1"/>
                <c:pt idx="0">
                  <c:v>Programa de Doctorado en Estadística Matemática y Aplicada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Indicadores!$X$64:$AB$64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C3-450D-AA82-FC1808C010CE}"/>
            </c:ext>
          </c:extLst>
        </c:ser>
        <c:ser>
          <c:idx val="4"/>
          <c:order val="4"/>
          <c:tx>
            <c:strRef>
              <c:f>Indicadores!$O$67</c:f>
              <c:strCache>
                <c:ptCount val="1"/>
                <c:pt idx="0">
                  <c:v>Programa de Doctorado en Física y Ciencias del Espacio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Indicadores!$X$67:$AB$67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C3-450D-AA82-FC1808C010CE}"/>
            </c:ext>
          </c:extLst>
        </c:ser>
        <c:ser>
          <c:idx val="5"/>
          <c:order val="5"/>
          <c:tx>
            <c:strRef>
              <c:f>Indicadores!$O$75</c:f>
              <c:strCache>
                <c:ptCount val="1"/>
                <c:pt idx="0">
                  <c:v>Programa de Doctorado en Física y Matemáticas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Indicadores!$X$75:$AB$75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7C3-450D-AA82-FC1808C010CE}"/>
            </c:ext>
          </c:extLst>
        </c:ser>
        <c:ser>
          <c:idx val="6"/>
          <c:order val="6"/>
          <c:tx>
            <c:strRef>
              <c:f>Indicadores!$O$85</c:f>
              <c:strCache>
                <c:ptCount val="1"/>
                <c:pt idx="0">
                  <c:v>Programa de Doctorado en Ingeniería Civil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Indicadores!$X$85:$AB$85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C3-450D-AA82-FC1808C010CE}"/>
            </c:ext>
          </c:extLst>
        </c:ser>
        <c:ser>
          <c:idx val="7"/>
          <c:order val="7"/>
          <c:tx>
            <c:strRef>
              <c:f>Indicadores!$O$92</c:f>
              <c:strCache>
                <c:ptCount val="1"/>
                <c:pt idx="0">
                  <c:v>Programa de Doctorado en Matemáticas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Indicadores!$X$92:$AB$92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7C3-450D-AA82-FC1808C010CE}"/>
            </c:ext>
          </c:extLst>
        </c:ser>
        <c:ser>
          <c:idx val="8"/>
          <c:order val="8"/>
          <c:tx>
            <c:strRef>
              <c:f>Indicadores!$O$95</c:f>
              <c:strCache>
                <c:ptCount val="1"/>
                <c:pt idx="0">
                  <c:v>Programa de Doctorado en Química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Indicadores!$X$95:$AB$95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7C3-450D-AA82-FC1808C010CE}"/>
            </c:ext>
          </c:extLst>
        </c:ser>
        <c:ser>
          <c:idx val="9"/>
          <c:order val="9"/>
          <c:tx>
            <c:strRef>
              <c:f>Indicadores!$O$104</c:f>
              <c:strCache>
                <c:ptCount val="1"/>
                <c:pt idx="0">
                  <c:v>Programa de Doctorado en Tecnologías de la información y la Comunicación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Indicadores!$X$104:$AB$104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7C3-450D-AA82-FC1808C01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879503"/>
        <c:axId val="774878671"/>
      </c:lineChart>
      <c:catAx>
        <c:axId val="774879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74878671"/>
        <c:crosses val="autoZero"/>
        <c:auto val="1"/>
        <c:lblAlgn val="ctr"/>
        <c:lblOffset val="100"/>
        <c:noMultiLvlLbl val="0"/>
      </c:catAx>
      <c:valAx>
        <c:axId val="774878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74879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Relación</a:t>
            </a:r>
            <a:r>
              <a:rPr lang="es-ES" sz="1600" baseline="0"/>
              <a:t> de publicaciones por curso académico </a:t>
            </a:r>
          </a:p>
          <a:p>
            <a:pPr>
              <a:defRPr/>
            </a:pPr>
            <a:r>
              <a:rPr lang="es-ES" sz="1600" baseline="0"/>
              <a:t>y Programa de Doctorado</a:t>
            </a:r>
            <a:endParaRPr lang="es-E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Indicadores!$O$41</c:f>
              <c:strCache>
                <c:ptCount val="1"/>
                <c:pt idx="0">
                  <c:v>Programa de Doctorado en Biología Fundamental y de Sistemas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Indicadores!$AW$2:$BA$2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Indicadores!$AW$41:$BA$41</c:f>
              <c:numCache>
                <c:formatCode>General</c:formatCode>
                <c:ptCount val="5"/>
                <c:pt idx="0">
                  <c:v>0</c:v>
                </c:pt>
                <c:pt idx="1">
                  <c:v>19</c:v>
                </c:pt>
                <c:pt idx="2">
                  <c:v>25</c:v>
                </c:pt>
                <c:pt idx="3">
                  <c:v>41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92-4379-8D92-E37B662F4D09}"/>
            </c:ext>
          </c:extLst>
        </c:ser>
        <c:ser>
          <c:idx val="1"/>
          <c:order val="1"/>
          <c:tx>
            <c:strRef>
              <c:f>Indicadores!$O$52</c:f>
              <c:strCache>
                <c:ptCount val="1"/>
                <c:pt idx="0">
                  <c:v>Programa de Doctorado en Ciencias de la Tierra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Indicadores!$AW$2:$BA$2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Indicadores!$AW$52:$BA$52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92-4379-8D92-E37B662F4D09}"/>
            </c:ext>
          </c:extLst>
        </c:ser>
        <c:ser>
          <c:idx val="2"/>
          <c:order val="2"/>
          <c:tx>
            <c:strRef>
              <c:f>Indicadores!$O$60</c:f>
              <c:strCache>
                <c:ptCount val="1"/>
                <c:pt idx="0">
                  <c:v>Programa de Doctorado en Dinámica de Flujos Biogeoquímicos y sus Aplicaciones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Indicadores!$AW$2:$BA$2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Indicadores!$AW$60:$BA$60</c:f>
              <c:numCache>
                <c:formatCode>General</c:formatCode>
                <c:ptCount val="5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13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92-4379-8D92-E37B662F4D09}"/>
            </c:ext>
          </c:extLst>
        </c:ser>
        <c:ser>
          <c:idx val="3"/>
          <c:order val="3"/>
          <c:tx>
            <c:strRef>
              <c:f>Indicadores!$O$64</c:f>
              <c:strCache>
                <c:ptCount val="1"/>
                <c:pt idx="0">
                  <c:v>Programa de Doctorado en Estadística Matemática y Aplicada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Indicadores!$AW$2:$BA$2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Indicadores!$AW$64:$BA$64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92-4379-8D92-E37B662F4D09}"/>
            </c:ext>
          </c:extLst>
        </c:ser>
        <c:ser>
          <c:idx val="4"/>
          <c:order val="4"/>
          <c:tx>
            <c:strRef>
              <c:f>Indicadores!$O$67</c:f>
              <c:strCache>
                <c:ptCount val="1"/>
                <c:pt idx="0">
                  <c:v>Programa de Doctorado en Física y Ciencias del Espacio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Indicadores!$AW$2:$BA$2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Indicadores!$AW$67:$BA$67</c:f>
              <c:numCache>
                <c:formatCode>General</c:formatCode>
                <c:ptCount val="5"/>
                <c:pt idx="0">
                  <c:v>0</c:v>
                </c:pt>
                <c:pt idx="1">
                  <c:v>12</c:v>
                </c:pt>
                <c:pt idx="2">
                  <c:v>11</c:v>
                </c:pt>
                <c:pt idx="3">
                  <c:v>75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92-4379-8D92-E37B662F4D09}"/>
            </c:ext>
          </c:extLst>
        </c:ser>
        <c:ser>
          <c:idx val="5"/>
          <c:order val="5"/>
          <c:tx>
            <c:strRef>
              <c:f>Indicadores!$O$75</c:f>
              <c:strCache>
                <c:ptCount val="1"/>
                <c:pt idx="0">
                  <c:v>Programa de Doctorado en Física y Matemáticas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Indicadores!$AW$2:$BA$2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Indicadores!$AW$75:$BA$75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104</c:v>
                </c:pt>
                <c:pt idx="3">
                  <c:v>39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92-4379-8D92-E37B662F4D09}"/>
            </c:ext>
          </c:extLst>
        </c:ser>
        <c:ser>
          <c:idx val="6"/>
          <c:order val="6"/>
          <c:tx>
            <c:strRef>
              <c:f>Indicadores!$O$85</c:f>
              <c:strCache>
                <c:ptCount val="1"/>
                <c:pt idx="0">
                  <c:v>Programa de Doctorado en Ingeniería Civil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Indicadores!$AW$2:$BA$2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Indicadores!$AW$85:$BA$85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41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92-4379-8D92-E37B662F4D09}"/>
            </c:ext>
          </c:extLst>
        </c:ser>
        <c:ser>
          <c:idx val="7"/>
          <c:order val="7"/>
          <c:tx>
            <c:strRef>
              <c:f>Indicadores!$O$92</c:f>
              <c:strCache>
                <c:ptCount val="1"/>
                <c:pt idx="0">
                  <c:v>Programa de Doctorado en Matemáticas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Indicadores!$AW$2:$BA$2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Indicadores!$AW$92:$BA$92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292-4379-8D92-E37B662F4D09}"/>
            </c:ext>
          </c:extLst>
        </c:ser>
        <c:ser>
          <c:idx val="8"/>
          <c:order val="8"/>
          <c:tx>
            <c:strRef>
              <c:f>Indicadores!$O$95</c:f>
              <c:strCache>
                <c:ptCount val="1"/>
                <c:pt idx="0">
                  <c:v>Programa de Doctorado en Química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Indicadores!$AW$2:$BA$2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Indicadores!$AW$95:$BA$95</c:f>
              <c:numCache>
                <c:formatCode>General</c:formatCode>
                <c:ptCount val="5"/>
                <c:pt idx="0">
                  <c:v>0</c:v>
                </c:pt>
                <c:pt idx="1">
                  <c:v>12</c:v>
                </c:pt>
                <c:pt idx="2">
                  <c:v>2</c:v>
                </c:pt>
                <c:pt idx="3">
                  <c:v>39</c:v>
                </c:pt>
                <c:pt idx="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292-4379-8D92-E37B662F4D09}"/>
            </c:ext>
          </c:extLst>
        </c:ser>
        <c:ser>
          <c:idx val="9"/>
          <c:order val="9"/>
          <c:tx>
            <c:strRef>
              <c:f>Indicadores!$O$104</c:f>
              <c:strCache>
                <c:ptCount val="1"/>
                <c:pt idx="0">
                  <c:v>Programa de Doctorado en Tecnologías de la información y la Comunicación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Indicadores!$AW$2:$BA$2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Indicadores!$AW$104:$BA$104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10</c:v>
                </c:pt>
                <c:pt idx="3">
                  <c:v>29</c:v>
                </c:pt>
                <c:pt idx="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292-4379-8D92-E37B662F4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8809631"/>
        <c:axId val="1095662527"/>
      </c:lineChart>
      <c:catAx>
        <c:axId val="918809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95662527"/>
        <c:crosses val="autoZero"/>
        <c:auto val="1"/>
        <c:lblAlgn val="ctr"/>
        <c:lblOffset val="100"/>
        <c:noMultiLvlLbl val="0"/>
      </c:catAx>
      <c:valAx>
        <c:axId val="1095662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18809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Cotutelas por Programa de</a:t>
            </a:r>
            <a:r>
              <a:rPr lang="es-ES" baseline="0"/>
              <a:t> Doctorado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(Indicadores!$O$104,Indicadores!$O$95,Indicadores!$O$92,Indicadores!$O$85,Indicadores!$O$75,Indicadores!$O$67,Indicadores!$O$64,Indicadores!$O$60,Indicadores!$O$52,Indicadores!$O$41)</c:f>
              <c:strCache>
                <c:ptCount val="10"/>
                <c:pt idx="0">
                  <c:v>Programa de Doctorado en Tecnologías de la información y la Comunicación</c:v>
                </c:pt>
                <c:pt idx="1">
                  <c:v>Programa de Doctorado en Química</c:v>
                </c:pt>
                <c:pt idx="2">
                  <c:v>Programa de Doctorado en Matemáticas</c:v>
                </c:pt>
                <c:pt idx="3">
                  <c:v>Programa de Doctorado en Ingeniería Civil</c:v>
                </c:pt>
                <c:pt idx="4">
                  <c:v>Programa de Doctorado en Física y Matemáticas</c:v>
                </c:pt>
                <c:pt idx="5">
                  <c:v>Programa de Doctorado en Física y Ciencias del Espacio</c:v>
                </c:pt>
                <c:pt idx="6">
                  <c:v>Programa de Doctorado en Estadística Matemática y Aplicada</c:v>
                </c:pt>
                <c:pt idx="7">
                  <c:v>Programa de Doctorado en Dinámica de Flujos Biogeoquímicos y sus Aplicaciones</c:v>
                </c:pt>
                <c:pt idx="8">
                  <c:v>Programa de Doctorado en Ciencias de la Tierra</c:v>
                </c:pt>
                <c:pt idx="9">
                  <c:v>Programa de Doctorado en Biología Fundamental y de Sistemas</c:v>
                </c:pt>
              </c:strCache>
            </c:strRef>
          </c:cat>
          <c:val>
            <c:numRef>
              <c:f>(Indicadores!$AH$104,Indicadores!$AH$95,Indicadores!$AH$92,Indicadores!$AH$85,Indicadores!$AH$75,Indicadores!$AH$67,Indicadores!$AH$64,Indicadores!$AH$60,Indicadores!$AH$52,Indicadores!$AH$41)</c:f>
              <c:numCache>
                <c:formatCode>General</c:formatCode>
                <c:ptCount val="10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F-4D57-9F9F-C9B4E48BC0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17169167"/>
        <c:axId val="917169999"/>
      </c:barChart>
      <c:catAx>
        <c:axId val="917169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17169999"/>
        <c:crosses val="autoZero"/>
        <c:auto val="1"/>
        <c:lblAlgn val="ctr"/>
        <c:lblOffset val="100"/>
        <c:noMultiLvlLbl val="0"/>
      </c:catAx>
      <c:valAx>
        <c:axId val="91716999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7169167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Alumnos vinculados a la UGR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(Indicadores!$O$104,Indicadores!$O$95,Indicadores!$O$92,Indicadores!$O$85,Indicadores!$O$75,Indicadores!$O$67,Indicadores!$O$64,Indicadores!$O$60,Indicadores!$O$52,Indicadores!$O$41)</c:f>
              <c:strCache>
                <c:ptCount val="10"/>
                <c:pt idx="0">
                  <c:v>Programa de Doctorado en Tecnologías de la información y la Comunicación</c:v>
                </c:pt>
                <c:pt idx="1">
                  <c:v>Programa de Doctorado en Química</c:v>
                </c:pt>
                <c:pt idx="2">
                  <c:v>Programa de Doctorado en Matemáticas</c:v>
                </c:pt>
                <c:pt idx="3">
                  <c:v>Programa de Doctorado en Ingeniería Civil</c:v>
                </c:pt>
                <c:pt idx="4">
                  <c:v>Programa de Doctorado en Física y Matemáticas</c:v>
                </c:pt>
                <c:pt idx="5">
                  <c:v>Programa de Doctorado en Física y Ciencias del Espacio</c:v>
                </c:pt>
                <c:pt idx="6">
                  <c:v>Programa de Doctorado en Estadística Matemática y Aplicada</c:v>
                </c:pt>
                <c:pt idx="7">
                  <c:v>Programa de Doctorado en Dinámica de Flujos Biogeoquímicos y sus Aplicaciones</c:v>
                </c:pt>
                <c:pt idx="8">
                  <c:v>Programa de Doctorado en Ciencias de la Tierra</c:v>
                </c:pt>
                <c:pt idx="9">
                  <c:v>Programa de Doctorado en Biología Fundamental y de Sistemas</c:v>
                </c:pt>
              </c:strCache>
            </c:strRef>
          </c:cat>
          <c:val>
            <c:numRef>
              <c:f>(Indicadores!$AL$104,Indicadores!$AL$95,Indicadores!$AL$92,Indicadores!$AL$85,Indicadores!$AL$75,Indicadores!$AL$67,Indicadores!$AL$64,Indicadores!$AL$60,Indicadores!$AL$52,Indicadores!$AL$41)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4-4190-A9A2-A6310D6C42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75785935"/>
        <c:axId val="775788015"/>
      </c:barChart>
      <c:catAx>
        <c:axId val="7757859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75788015"/>
        <c:crosses val="autoZero"/>
        <c:auto val="1"/>
        <c:lblAlgn val="ctr"/>
        <c:lblOffset val="100"/>
        <c:noMultiLvlLbl val="0"/>
      </c:catAx>
      <c:valAx>
        <c:axId val="77578801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75785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Alumnos con mención internacional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(Indicadores!$O$104,Indicadores!$O$95,Indicadores!$O$92,Indicadores!$O$85,Indicadores!$O$75,Indicadores!$O$67,Indicadores!$O$64,Indicadores!$O$60,Indicadores!$O$52,Indicadores!$O$41)</c:f>
              <c:strCache>
                <c:ptCount val="10"/>
                <c:pt idx="0">
                  <c:v>Programa de Doctorado en Tecnologías de la información y la Comunicación</c:v>
                </c:pt>
                <c:pt idx="1">
                  <c:v>Programa de Doctorado en Química</c:v>
                </c:pt>
                <c:pt idx="2">
                  <c:v>Programa de Doctorado en Matemáticas</c:v>
                </c:pt>
                <c:pt idx="3">
                  <c:v>Programa de Doctorado en Ingeniería Civil</c:v>
                </c:pt>
                <c:pt idx="4">
                  <c:v>Programa de Doctorado en Física y Matemáticas</c:v>
                </c:pt>
                <c:pt idx="5">
                  <c:v>Programa de Doctorado en Física y Ciencias del Espacio</c:v>
                </c:pt>
                <c:pt idx="6">
                  <c:v>Programa de Doctorado en Estadística Matemática y Aplicada</c:v>
                </c:pt>
                <c:pt idx="7">
                  <c:v>Programa de Doctorado en Dinámica de Flujos Biogeoquímicos y sus Aplicaciones</c:v>
                </c:pt>
                <c:pt idx="8">
                  <c:v>Programa de Doctorado en Ciencias de la Tierra</c:v>
                </c:pt>
                <c:pt idx="9">
                  <c:v>Programa de Doctorado en Biología Fundamental y de Sistemas</c:v>
                </c:pt>
              </c:strCache>
            </c:strRef>
          </c:cat>
          <c:val>
            <c:numRef>
              <c:f>(Indicadores!$AM$104,Indicadores!$AM$95,Indicadores!$AM$92,Indicadores!$AM$85,Indicadores!$AM$75,Indicadores!$AM$67,Indicadores!$AM$64,Indicadores!$AM$60,Indicadores!$AM$52,Indicadores!$AM$41)</c:f>
              <c:numCache>
                <c:formatCode>General</c:formatCode>
                <c:ptCount val="10"/>
                <c:pt idx="0">
                  <c:v>4</c:v>
                </c:pt>
                <c:pt idx="1">
                  <c:v>11</c:v>
                </c:pt>
                <c:pt idx="2">
                  <c:v>2</c:v>
                </c:pt>
                <c:pt idx="3">
                  <c:v>4</c:v>
                </c:pt>
                <c:pt idx="4">
                  <c:v>15</c:v>
                </c:pt>
                <c:pt idx="5">
                  <c:v>9</c:v>
                </c:pt>
                <c:pt idx="6">
                  <c:v>0</c:v>
                </c:pt>
                <c:pt idx="7">
                  <c:v>3</c:v>
                </c:pt>
                <c:pt idx="8">
                  <c:v>5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8-48F9-A7B9-CE02786D83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24071279"/>
        <c:axId val="1124083759"/>
      </c:barChart>
      <c:catAx>
        <c:axId val="11240712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24083759"/>
        <c:crosses val="autoZero"/>
        <c:auto val="1"/>
        <c:lblAlgn val="ctr"/>
        <c:lblOffset val="100"/>
        <c:noMultiLvlLbl val="0"/>
      </c:catAx>
      <c:valAx>
        <c:axId val="112408375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24071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Tesis publicadas en Digibug,</a:t>
            </a:r>
            <a:r>
              <a:rPr lang="es-ES" baseline="0"/>
              <a:t> TESEO y Dialnet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Indicadores!$AQ$1</c:f>
              <c:strCache>
                <c:ptCount val="1"/>
                <c:pt idx="0">
                  <c:v>Tesis en Digibug</c:v>
                </c:pt>
              </c:strCache>
            </c:strRef>
          </c:tx>
          <c:spPr>
            <a:gradFill>
              <a:gsLst>
                <a:gs pos="0">
                  <a:srgbClr val="C10B0B"/>
                </a:gs>
                <a:gs pos="52000">
                  <a:srgbClr val="8E0808"/>
                </a:gs>
                <a:gs pos="100000">
                  <a:srgbClr val="570505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(Indicadores!$O$41,Indicadores!$O$52,Indicadores!$O$60,Indicadores!$O$64,Indicadores!$O$67,Indicadores!$O$75,Indicadores!$O$85,Indicadores!$O$92,Indicadores!$O$95,Indicadores!$O$104)</c:f>
              <c:strCache>
                <c:ptCount val="10"/>
                <c:pt idx="0">
                  <c:v>Programa de Doctorado en Biología Fundamental y de Sistemas</c:v>
                </c:pt>
                <c:pt idx="1">
                  <c:v>Programa de Doctorado en Ciencias de la Tierra</c:v>
                </c:pt>
                <c:pt idx="2">
                  <c:v>Programa de Doctorado en Dinámica de Flujos Biogeoquímicos y sus Aplicaciones</c:v>
                </c:pt>
                <c:pt idx="3">
                  <c:v>Programa de Doctorado en Estadística Matemática y Aplicada</c:v>
                </c:pt>
                <c:pt idx="4">
                  <c:v>Programa de Doctorado en Física y Ciencias del Espacio</c:v>
                </c:pt>
                <c:pt idx="5">
                  <c:v>Programa de Doctorado en Física y Matemáticas</c:v>
                </c:pt>
                <c:pt idx="6">
                  <c:v>Programa de Doctorado en Ingeniería Civil</c:v>
                </c:pt>
                <c:pt idx="7">
                  <c:v>Programa de Doctorado en Matemáticas</c:v>
                </c:pt>
                <c:pt idx="8">
                  <c:v>Programa de Doctorado en Química</c:v>
                </c:pt>
                <c:pt idx="9">
                  <c:v>Programa de Doctorado en Tecnologías de la información y la Comunicación</c:v>
                </c:pt>
              </c:strCache>
            </c:strRef>
          </c:cat>
          <c:val>
            <c:numRef>
              <c:f>(Indicadores!$AQ$41,Indicadores!$AQ$52,Indicadores!$AQ$60,Indicadores!$AQ$64,Indicadores!$AQ$67,Indicadores!$AQ$75,Indicadores!$AQ$85,Indicadores!$AQ$92,Indicadores!$AQ$95,Indicadores!$AQ$104)</c:f>
              <c:numCache>
                <c:formatCode>General</c:formatCode>
                <c:ptCount val="10"/>
                <c:pt idx="0">
                  <c:v>16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16</c:v>
                </c:pt>
                <c:pt idx="5">
                  <c:v>16</c:v>
                </c:pt>
                <c:pt idx="6">
                  <c:v>10</c:v>
                </c:pt>
                <c:pt idx="7">
                  <c:v>2</c:v>
                </c:pt>
                <c:pt idx="8">
                  <c:v>13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7-46EB-90F6-12C37D5B52A6}"/>
            </c:ext>
          </c:extLst>
        </c:ser>
        <c:ser>
          <c:idx val="1"/>
          <c:order val="1"/>
          <c:tx>
            <c:strRef>
              <c:f>Indicadores!$AR$1</c:f>
              <c:strCache>
                <c:ptCount val="1"/>
                <c:pt idx="0">
                  <c:v>Tesis en TESEO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(Indicadores!$O$41,Indicadores!$O$52,Indicadores!$O$60,Indicadores!$O$64,Indicadores!$O$67,Indicadores!$O$75,Indicadores!$O$85,Indicadores!$O$92,Indicadores!$O$95,Indicadores!$O$104)</c:f>
              <c:strCache>
                <c:ptCount val="10"/>
                <c:pt idx="0">
                  <c:v>Programa de Doctorado en Biología Fundamental y de Sistemas</c:v>
                </c:pt>
                <c:pt idx="1">
                  <c:v>Programa de Doctorado en Ciencias de la Tierra</c:v>
                </c:pt>
                <c:pt idx="2">
                  <c:v>Programa de Doctorado en Dinámica de Flujos Biogeoquímicos y sus Aplicaciones</c:v>
                </c:pt>
                <c:pt idx="3">
                  <c:v>Programa de Doctorado en Estadística Matemática y Aplicada</c:v>
                </c:pt>
                <c:pt idx="4">
                  <c:v>Programa de Doctorado en Física y Ciencias del Espacio</c:v>
                </c:pt>
                <c:pt idx="5">
                  <c:v>Programa de Doctorado en Física y Matemáticas</c:v>
                </c:pt>
                <c:pt idx="6">
                  <c:v>Programa de Doctorado en Ingeniería Civil</c:v>
                </c:pt>
                <c:pt idx="7">
                  <c:v>Programa de Doctorado en Matemáticas</c:v>
                </c:pt>
                <c:pt idx="8">
                  <c:v>Programa de Doctorado en Química</c:v>
                </c:pt>
                <c:pt idx="9">
                  <c:v>Programa de Doctorado en Tecnologías de la información y la Comunicación</c:v>
                </c:pt>
              </c:strCache>
            </c:strRef>
          </c:cat>
          <c:val>
            <c:numRef>
              <c:f>(Indicadores!$AR$41,Indicadores!$AR$52,Indicadores!$AR$60,Indicadores!$AR$64,Indicadores!$AR$67,Indicadores!$AR$75,Indicadores!$AR$85,Indicadores!$AR$92,Indicadores!$AR$95,Indicadores!$AR$104)</c:f>
              <c:numCache>
                <c:formatCode>General</c:formatCode>
                <c:ptCount val="10"/>
                <c:pt idx="0">
                  <c:v>9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9</c:v>
                </c:pt>
                <c:pt idx="6">
                  <c:v>3</c:v>
                </c:pt>
                <c:pt idx="7">
                  <c:v>1</c:v>
                </c:pt>
                <c:pt idx="8">
                  <c:v>11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7-46EB-90F6-12C37D5B52A6}"/>
            </c:ext>
          </c:extLst>
        </c:ser>
        <c:ser>
          <c:idx val="2"/>
          <c:order val="2"/>
          <c:tx>
            <c:strRef>
              <c:f>Indicadores!$AS$1</c:f>
              <c:strCache>
                <c:ptCount val="1"/>
                <c:pt idx="0">
                  <c:v>Tesis en Dialnet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(Indicadores!$O$41,Indicadores!$O$52,Indicadores!$O$60,Indicadores!$O$64,Indicadores!$O$67,Indicadores!$O$75,Indicadores!$O$85,Indicadores!$O$92,Indicadores!$O$95,Indicadores!$O$104)</c:f>
              <c:strCache>
                <c:ptCount val="10"/>
                <c:pt idx="0">
                  <c:v>Programa de Doctorado en Biología Fundamental y de Sistemas</c:v>
                </c:pt>
                <c:pt idx="1">
                  <c:v>Programa de Doctorado en Ciencias de la Tierra</c:v>
                </c:pt>
                <c:pt idx="2">
                  <c:v>Programa de Doctorado en Dinámica de Flujos Biogeoquímicos y sus Aplicaciones</c:v>
                </c:pt>
                <c:pt idx="3">
                  <c:v>Programa de Doctorado en Estadística Matemática y Aplicada</c:v>
                </c:pt>
                <c:pt idx="4">
                  <c:v>Programa de Doctorado en Física y Ciencias del Espacio</c:v>
                </c:pt>
                <c:pt idx="5">
                  <c:v>Programa de Doctorado en Física y Matemáticas</c:v>
                </c:pt>
                <c:pt idx="6">
                  <c:v>Programa de Doctorado en Ingeniería Civil</c:v>
                </c:pt>
                <c:pt idx="7">
                  <c:v>Programa de Doctorado en Matemáticas</c:v>
                </c:pt>
                <c:pt idx="8">
                  <c:v>Programa de Doctorado en Química</c:v>
                </c:pt>
                <c:pt idx="9">
                  <c:v>Programa de Doctorado en Tecnologías de la información y la Comunicación</c:v>
                </c:pt>
              </c:strCache>
            </c:strRef>
          </c:cat>
          <c:val>
            <c:numRef>
              <c:f>(Indicadores!$AS$41,Indicadores!$AS$52,Indicadores!$AS$60,Indicadores!$AS$64,Indicadores!$AS$67,Indicadores!$AS$75,Indicadores!$AS$85,Indicadores!$AS$92,Indicadores!$AS$95,Indicadores!$AS$104)</c:f>
              <c:numCache>
                <c:formatCode>General</c:formatCode>
                <c:ptCount val="10"/>
                <c:pt idx="0">
                  <c:v>17</c:v>
                </c:pt>
                <c:pt idx="1">
                  <c:v>7</c:v>
                </c:pt>
                <c:pt idx="2">
                  <c:v>7</c:v>
                </c:pt>
                <c:pt idx="3">
                  <c:v>1</c:v>
                </c:pt>
                <c:pt idx="4">
                  <c:v>16</c:v>
                </c:pt>
                <c:pt idx="5">
                  <c:v>16</c:v>
                </c:pt>
                <c:pt idx="6">
                  <c:v>12</c:v>
                </c:pt>
                <c:pt idx="7">
                  <c:v>2</c:v>
                </c:pt>
                <c:pt idx="8">
                  <c:v>19</c:v>
                </c:pt>
                <c:pt idx="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07-46EB-90F6-12C37D5B52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75782607"/>
        <c:axId val="775785519"/>
      </c:barChart>
      <c:catAx>
        <c:axId val="775782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75785519"/>
        <c:crosses val="autoZero"/>
        <c:auto val="1"/>
        <c:lblAlgn val="ctr"/>
        <c:lblOffset val="100"/>
        <c:noMultiLvlLbl val="0"/>
      </c:catAx>
      <c:valAx>
        <c:axId val="77578551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75782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Promedio de publicaciones por alumno y </a:t>
            </a:r>
          </a:p>
          <a:p>
            <a:pPr>
              <a:defRPr/>
            </a:pPr>
            <a:r>
              <a:rPr lang="es-ES"/>
              <a:t>Programa</a:t>
            </a:r>
            <a:r>
              <a:rPr lang="es-ES" baseline="0"/>
              <a:t> de Doctorado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Indicadores!$O$41</c:f>
              <c:strCache>
                <c:ptCount val="1"/>
                <c:pt idx="0">
                  <c:v>Programa de Doctorado en Biología Fundamental y de Sistemas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Indicadores!$BG$41</c:f>
              <c:numCache>
                <c:formatCode>0.0</c:formatCode>
                <c:ptCount val="1"/>
                <c:pt idx="0">
                  <c:v>7.117647058823529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1-4B08-9F04-A36462D8376F}"/>
            </c:ext>
          </c:extLst>
        </c:ser>
        <c:ser>
          <c:idx val="1"/>
          <c:order val="1"/>
          <c:tx>
            <c:strRef>
              <c:f>Indicadores!$O$52</c:f>
              <c:strCache>
                <c:ptCount val="1"/>
                <c:pt idx="0">
                  <c:v>Programa de Doctorado en Ciencias de la Tierra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Indicadores!$BG$52</c:f>
              <c:numCache>
                <c:formatCode>0.0</c:formatCode>
                <c:ptCount val="1"/>
                <c:pt idx="0">
                  <c:v>5.875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D1-4B08-9F04-A36462D8376F}"/>
            </c:ext>
          </c:extLst>
        </c:ser>
        <c:ser>
          <c:idx val="2"/>
          <c:order val="2"/>
          <c:tx>
            <c:strRef>
              <c:f>Indicadores!$O$60</c:f>
              <c:strCache>
                <c:ptCount val="1"/>
                <c:pt idx="0">
                  <c:v>Programa de Doctorado en Dinámica de Flujos Biogeoquímicos y sus Aplicaciones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Indicadores!$BG$60</c:f>
              <c:numCache>
                <c:formatCode>0.0</c:formatCode>
                <c:ptCount val="1"/>
                <c:pt idx="0">
                  <c:v>9.8571428571428577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D1-4B08-9F04-A36462D8376F}"/>
            </c:ext>
          </c:extLst>
        </c:ser>
        <c:ser>
          <c:idx val="3"/>
          <c:order val="3"/>
          <c:tx>
            <c:strRef>
              <c:f>Indicadores!$O$64</c:f>
              <c:strCache>
                <c:ptCount val="1"/>
                <c:pt idx="0">
                  <c:v>Programa de Doctorado en Estadística Matemática y Aplicada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Indicadores!$BG$64</c:f>
              <c:numCache>
                <c:formatCode>0.0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D1-4B08-9F04-A36462D8376F}"/>
            </c:ext>
          </c:extLst>
        </c:ser>
        <c:ser>
          <c:idx val="4"/>
          <c:order val="4"/>
          <c:tx>
            <c:strRef>
              <c:f>Indicadores!$O$67</c:f>
              <c:strCache>
                <c:ptCount val="1"/>
                <c:pt idx="0">
                  <c:v>Programa de Doctorado en Física y Ciencias del Espacio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Indicadores!$BG$67</c:f>
              <c:numCache>
                <c:formatCode>0.0</c:formatCode>
                <c:ptCount val="1"/>
                <c:pt idx="0">
                  <c:v>8.4117647058823533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D1-4B08-9F04-A36462D8376F}"/>
            </c:ext>
          </c:extLst>
        </c:ser>
        <c:ser>
          <c:idx val="5"/>
          <c:order val="5"/>
          <c:tx>
            <c:strRef>
              <c:f>Indicadores!$O$75</c:f>
              <c:strCache>
                <c:ptCount val="1"/>
                <c:pt idx="0">
                  <c:v>Programa de Doctorado en Física y Matemáticas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Indicadores!$BG$75</c:f>
              <c:numCache>
                <c:formatCode>0.0</c:formatCode>
                <c:ptCount val="1"/>
                <c:pt idx="0">
                  <c:v>12.421052631578947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D1-4B08-9F04-A36462D8376F}"/>
            </c:ext>
          </c:extLst>
        </c:ser>
        <c:ser>
          <c:idx val="6"/>
          <c:order val="6"/>
          <c:tx>
            <c:strRef>
              <c:f>Indicadores!$O$85</c:f>
              <c:strCache>
                <c:ptCount val="1"/>
                <c:pt idx="0">
                  <c:v>Programa de Doctorado en Ingeniería Civil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Indicadores!$BG$85</c:f>
              <c:numCache>
                <c:formatCode>0.0</c:formatCode>
                <c:ptCount val="1"/>
                <c:pt idx="0">
                  <c:v>4.833333333333333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D1-4B08-9F04-A36462D8376F}"/>
            </c:ext>
          </c:extLst>
        </c:ser>
        <c:ser>
          <c:idx val="7"/>
          <c:order val="7"/>
          <c:tx>
            <c:strRef>
              <c:f>Indicadores!$O$92</c:f>
              <c:strCache>
                <c:ptCount val="1"/>
                <c:pt idx="0">
                  <c:v>Programa de Doctorado en Matemáticas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Indicadores!$BG$92</c:f>
              <c:numCache>
                <c:formatCode>0.0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0D1-4B08-9F04-A36462D8376F}"/>
            </c:ext>
          </c:extLst>
        </c:ser>
        <c:ser>
          <c:idx val="8"/>
          <c:order val="8"/>
          <c:tx>
            <c:strRef>
              <c:f>Indicadores!$O$95</c:f>
              <c:strCache>
                <c:ptCount val="1"/>
                <c:pt idx="0">
                  <c:v>Programa de Doctorado en Química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Indicadores!$BG$95</c:f>
              <c:numCache>
                <c:formatCode>0.0</c:formatCode>
                <c:ptCount val="1"/>
                <c:pt idx="0">
                  <c:v>6.85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D1-4B08-9F04-A36462D8376F}"/>
            </c:ext>
          </c:extLst>
        </c:ser>
        <c:ser>
          <c:idx val="9"/>
          <c:order val="9"/>
          <c:tx>
            <c:strRef>
              <c:f>Indicadores!$O$104</c:f>
              <c:strCache>
                <c:ptCount val="1"/>
                <c:pt idx="0">
                  <c:v>Programa de Doctorado en Tecnologías de la información y la Comunicación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Indicadores!$BG$104</c:f>
              <c:numCache>
                <c:formatCode>0.0</c:formatCode>
                <c:ptCount val="1"/>
                <c:pt idx="0">
                  <c:v>7.7142857142857144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D1-4B08-9F04-A36462D837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13192255"/>
        <c:axId val="1113189343"/>
      </c:barChart>
      <c:catAx>
        <c:axId val="111319225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13189343"/>
        <c:crosses val="autoZero"/>
        <c:auto val="1"/>
        <c:lblAlgn val="ctr"/>
        <c:lblOffset val="100"/>
        <c:noMultiLvlLbl val="0"/>
      </c:catAx>
      <c:valAx>
        <c:axId val="1113189343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113192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Promedio de publicaciones por Programa de Doctorado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Indicadores!$O$41</c:f>
              <c:strCache>
                <c:ptCount val="1"/>
                <c:pt idx="0">
                  <c:v>Programa de Doctorado en Biología Fundamental y de Sistemas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Indicadores!$BM$41</c:f>
              <c:numCache>
                <c:formatCode>0.0</c:formatCode>
                <c:ptCount val="1"/>
                <c:pt idx="0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1-49C4-94B9-3FC1D35F3012}"/>
            </c:ext>
          </c:extLst>
        </c:ser>
        <c:ser>
          <c:idx val="1"/>
          <c:order val="1"/>
          <c:tx>
            <c:strRef>
              <c:f>Indicadores!$O$52</c:f>
              <c:strCache>
                <c:ptCount val="1"/>
                <c:pt idx="0">
                  <c:v>Programa de Doctorado en Ciencias de la Tierra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Indicadores!$BM$52</c:f>
              <c:numCache>
                <c:formatCode>0.0</c:formatCode>
                <c:ptCount val="1"/>
                <c:pt idx="0">
                  <c:v>6.7142857142857144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81-49C4-94B9-3FC1D35F3012}"/>
            </c:ext>
          </c:extLst>
        </c:ser>
        <c:ser>
          <c:idx val="2"/>
          <c:order val="2"/>
          <c:tx>
            <c:strRef>
              <c:f>Indicadores!$O$60</c:f>
              <c:strCache>
                <c:ptCount val="1"/>
                <c:pt idx="0">
                  <c:v>Programa de Doctorado en Dinámica de Flujos Biogeoquímicos y sus Aplicaciones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Indicadores!$BM$60</c:f>
              <c:numCache>
                <c:formatCode>0.0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81-49C4-94B9-3FC1D35F3012}"/>
            </c:ext>
          </c:extLst>
        </c:ser>
        <c:ser>
          <c:idx val="3"/>
          <c:order val="3"/>
          <c:tx>
            <c:strRef>
              <c:f>Indicadores!$O$64</c:f>
              <c:strCache>
                <c:ptCount val="1"/>
                <c:pt idx="0">
                  <c:v>Programa de Doctorado en Estadística Matemática y Aplicada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Indicadores!$BM$64</c:f>
              <c:numCache>
                <c:formatCode>0.0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81-49C4-94B9-3FC1D35F3012}"/>
            </c:ext>
          </c:extLst>
        </c:ser>
        <c:ser>
          <c:idx val="4"/>
          <c:order val="4"/>
          <c:tx>
            <c:strRef>
              <c:f>Indicadores!$O$67</c:f>
              <c:strCache>
                <c:ptCount val="1"/>
                <c:pt idx="0">
                  <c:v>Programa de Doctorado en Física y Ciencias del Espacio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Indicadores!$BM$67</c:f>
              <c:numCache>
                <c:formatCode>0.0</c:formatCode>
                <c:ptCount val="1"/>
                <c:pt idx="0">
                  <c:v>20.428571428571427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81-49C4-94B9-3FC1D35F3012}"/>
            </c:ext>
          </c:extLst>
        </c:ser>
        <c:ser>
          <c:idx val="5"/>
          <c:order val="5"/>
          <c:tx>
            <c:strRef>
              <c:f>Indicadores!$O$75</c:f>
              <c:strCache>
                <c:ptCount val="1"/>
                <c:pt idx="0">
                  <c:v>Programa de Doctorado en Física y Matemáticas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Indicadores!$BM$75</c:f>
              <c:numCache>
                <c:formatCode>0.0</c:formatCode>
                <c:ptCount val="1"/>
                <c:pt idx="0">
                  <c:v>26.222222222222221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81-49C4-94B9-3FC1D35F3012}"/>
            </c:ext>
          </c:extLst>
        </c:ser>
        <c:ser>
          <c:idx val="6"/>
          <c:order val="6"/>
          <c:tx>
            <c:strRef>
              <c:f>Indicadores!$O$85</c:f>
              <c:strCache>
                <c:ptCount val="1"/>
                <c:pt idx="0">
                  <c:v>Programa de Doctorado en Ingeniería Civil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Indicadores!$BM$85</c:f>
              <c:numCache>
                <c:formatCode>0.0</c:formatCode>
                <c:ptCount val="1"/>
                <c:pt idx="0">
                  <c:v>9.6666666666666661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81-49C4-94B9-3FC1D35F3012}"/>
            </c:ext>
          </c:extLst>
        </c:ser>
        <c:ser>
          <c:idx val="7"/>
          <c:order val="7"/>
          <c:tx>
            <c:strRef>
              <c:f>Indicadores!$O$92</c:f>
              <c:strCache>
                <c:ptCount val="1"/>
                <c:pt idx="0">
                  <c:v>Programa de Doctorado en Matemáticas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Indicadores!$BM$92</c:f>
              <c:numCache>
                <c:formatCode>0.0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81-49C4-94B9-3FC1D35F3012}"/>
            </c:ext>
          </c:extLst>
        </c:ser>
        <c:ser>
          <c:idx val="8"/>
          <c:order val="8"/>
          <c:tx>
            <c:strRef>
              <c:f>Indicadores!$O$95</c:f>
              <c:strCache>
                <c:ptCount val="1"/>
                <c:pt idx="0">
                  <c:v>Programa de Doctorado en Química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Indicadores!$BM$95</c:f>
              <c:numCache>
                <c:formatCode>0.0</c:formatCode>
                <c:ptCount val="1"/>
                <c:pt idx="0">
                  <c:v>17.125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81-49C4-94B9-3FC1D35F3012}"/>
            </c:ext>
          </c:extLst>
        </c:ser>
        <c:ser>
          <c:idx val="9"/>
          <c:order val="9"/>
          <c:tx>
            <c:strRef>
              <c:f>Indicadores!$O$104</c:f>
              <c:strCache>
                <c:ptCount val="1"/>
                <c:pt idx="0">
                  <c:v>Programa de Doctorado en Tecnologías de la información y la Comunicación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Indicadores!$BM$104</c:f>
              <c:numCache>
                <c:formatCode>0.0</c:formatCode>
                <c:ptCount val="1"/>
                <c:pt idx="0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581-49C4-94B9-3FC1D35F30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60667743"/>
        <c:axId val="1160672319"/>
      </c:barChart>
      <c:catAx>
        <c:axId val="116066774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60672319"/>
        <c:crosses val="autoZero"/>
        <c:auto val="1"/>
        <c:lblAlgn val="ctr"/>
        <c:lblOffset val="100"/>
        <c:noMultiLvlLbl val="0"/>
      </c:catAx>
      <c:valAx>
        <c:axId val="1160672319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160667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cap="none" baseline="0"/>
              <a:t>Número de publicaciones por género del alumno</a:t>
            </a:r>
            <a:endParaRPr lang="es-ES" sz="1200"/>
          </a:p>
        </c:rich>
      </c:tx>
      <c:layout>
        <c:manualLayout>
          <c:xMode val="edge"/>
          <c:yMode val="edge"/>
          <c:x val="0.1129264747476733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spPr>
            <a:gradFill>
              <a:gsLst>
                <a:gs pos="0">
                  <a:schemeClr val="accent3">
                    <a:lumMod val="67000"/>
                  </a:schemeClr>
                </a:gs>
                <a:gs pos="46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5400000" scaled="1"/>
            </a:gradFill>
          </c:spPr>
          <c:dPt>
            <c:idx val="0"/>
            <c:bubble3D val="0"/>
            <c:spPr>
              <a:gradFill flip="none" rotWithShape="1">
                <a:gsLst>
                  <a:gs pos="0">
                    <a:schemeClr val="accent5">
                      <a:lumMod val="67000"/>
                    </a:schemeClr>
                  </a:gs>
                  <a:gs pos="45000">
                    <a:schemeClr val="accent5">
                      <a:lumMod val="97000"/>
                      <a:lumOff val="3000"/>
                    </a:schemeClr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 scaled="1"/>
                <a:tileRect/>
              </a:gradFill>
              <a:ln w="19050">
                <a:solidFill>
                  <a:schemeClr val="lt1"/>
                </a:solidFill>
              </a:ln>
              <a:effectLst>
                <a:innerShdw blurRad="114300">
                  <a:schemeClr val="tx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CF-4585-8857-3DBCB233310E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chemeClr val="accent3">
                      <a:lumMod val="67000"/>
                    </a:schemeClr>
                  </a:gs>
                  <a:gs pos="46000">
                    <a:schemeClr val="accent3">
                      <a:lumMod val="97000"/>
                      <a:lumOff val="3000"/>
                    </a:schemeClr>
                  </a:gs>
                  <a:gs pos="100000">
                    <a:schemeClr val="accent3">
                      <a:lumMod val="60000"/>
                      <a:lumOff val="40000"/>
                    </a:schemeClr>
                  </a:gs>
                </a:gsLst>
                <a:lin ang="5400000" scaled="1"/>
              </a:gradFill>
              <a:ln w="19050">
                <a:solidFill>
                  <a:schemeClr val="lt1"/>
                </a:solidFill>
              </a:ln>
              <a:effectLst>
                <a:innerShdw blurRad="114300">
                  <a:schemeClr val="bg2">
                    <a:lumMod val="25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56CF-4585-8857-3DBCB233310E}"/>
              </c:ext>
            </c:extLst>
          </c:dPt>
          <c:dLbls>
            <c:dLbl>
              <c:idx val="0"/>
              <c:layout>
                <c:manualLayout>
                  <c:x val="-0.2033371549746123"/>
                  <c:y val="-1.5830781568970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CF-4585-8857-3DBCB233310E}"/>
                </c:ext>
              </c:extLst>
            </c:dLbl>
            <c:dLbl>
              <c:idx val="1"/>
              <c:layout>
                <c:manualLayout>
                  <c:x val="0.1919334883165166"/>
                  <c:y val="5.749781277340332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6CF-4585-8857-3DBCB23331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5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Indicadores!$AU$2:$AV$2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(Indicadores!$AU$181,Indicadores!$AV$181)</c:f>
              <c:numCache>
                <c:formatCode>General</c:formatCode>
                <c:ptCount val="2"/>
                <c:pt idx="0">
                  <c:v>1807</c:v>
                </c:pt>
                <c:pt idx="1">
                  <c:v>1386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CF-4585-8857-3DBCB233310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919621124574548"/>
          <c:y val="0.42413130650335368"/>
          <c:w val="0.14146778250525224"/>
          <c:h val="0.17866360454943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effectLst/>
              </a:rPr>
              <a:t>Programa de Doctorado en Biología </a:t>
            </a:r>
          </a:p>
          <a:p>
            <a:pPr>
              <a:defRPr/>
            </a:pPr>
            <a:r>
              <a:rPr lang="es-ES" sz="1400" b="0" i="0" u="none" strike="noStrike" baseline="0">
                <a:effectLst/>
              </a:rPr>
              <a:t>Fundamental y de Sistemas</a:t>
            </a:r>
            <a:endParaRPr lang="es-ES" sz="1400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Indicadores!$O$42:$T$51</c:f>
              <c:strCache>
                <c:ptCount val="10"/>
                <c:pt idx="0">
                  <c:v>Antioxidantes y Señalización por Especies de Oxígeno y Nitrógeno Reactivo en Plantas</c:v>
                </c:pt>
                <c:pt idx="1">
                  <c:v>Biología, Conservación y Gestión de la Fauna</c:v>
                </c:pt>
                <c:pt idx="2">
                  <c:v>Biología, Conservación y Gestión de la Flora</c:v>
                </c:pt>
                <c:pt idx="3">
                  <c:v>Bioquímica, Inmunología y Parasitología Molecular</c:v>
                </c:pt>
                <c:pt idx="4">
                  <c:v>Biotecnología y Fisiología de Cultivos de interés Agroalimentario</c:v>
                </c:pt>
                <c:pt idx="5">
                  <c:v>Fisiología, Bioquímica y Biología Molecular del Estrés Abiótico en Plantas</c:v>
                </c:pt>
                <c:pt idx="6">
                  <c:v>Genética y Genómica funcional y Evolutiva</c:v>
                </c:pt>
                <c:pt idx="7">
                  <c:v>Metabolismo de nutrientes y energía de especies pecuarias</c:v>
                </c:pt>
                <c:pt idx="8">
                  <c:v>Microbiología ambiental</c:v>
                </c:pt>
                <c:pt idx="9">
                  <c:v>Paleontología y Evolución</c:v>
                </c:pt>
              </c:strCache>
            </c:strRef>
          </c:cat>
          <c:val>
            <c:numRef>
              <c:f>Indicadores!$U$42:$U$51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F-47F6-9A5D-F02C7C5A4E5D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Indicadores!$O$42:$T$51</c:f>
              <c:strCache>
                <c:ptCount val="10"/>
                <c:pt idx="0">
                  <c:v>Antioxidantes y Señalización por Especies de Oxígeno y Nitrógeno Reactivo en Plantas</c:v>
                </c:pt>
                <c:pt idx="1">
                  <c:v>Biología, Conservación y Gestión de la Fauna</c:v>
                </c:pt>
                <c:pt idx="2">
                  <c:v>Biología, Conservación y Gestión de la Flora</c:v>
                </c:pt>
                <c:pt idx="3">
                  <c:v>Bioquímica, Inmunología y Parasitología Molecular</c:v>
                </c:pt>
                <c:pt idx="4">
                  <c:v>Biotecnología y Fisiología de Cultivos de interés Agroalimentario</c:v>
                </c:pt>
                <c:pt idx="5">
                  <c:v>Fisiología, Bioquímica y Biología Molecular del Estrés Abiótico en Plantas</c:v>
                </c:pt>
                <c:pt idx="6">
                  <c:v>Genética y Genómica funcional y Evolutiva</c:v>
                </c:pt>
                <c:pt idx="7">
                  <c:v>Metabolismo de nutrientes y energía de especies pecuarias</c:v>
                </c:pt>
                <c:pt idx="8">
                  <c:v>Microbiología ambiental</c:v>
                </c:pt>
                <c:pt idx="9">
                  <c:v>Paleontología y Evolución</c:v>
                </c:pt>
              </c:strCache>
            </c:strRef>
          </c:cat>
          <c:val>
            <c:numRef>
              <c:f>Indicadores!$AT$42:$AT$51</c:f>
              <c:numCache>
                <c:formatCode>General</c:formatCode>
                <c:ptCount val="10"/>
                <c:pt idx="0">
                  <c:v>11</c:v>
                </c:pt>
                <c:pt idx="1">
                  <c:v>9</c:v>
                </c:pt>
                <c:pt idx="2">
                  <c:v>10</c:v>
                </c:pt>
                <c:pt idx="3">
                  <c:v>1</c:v>
                </c:pt>
                <c:pt idx="4">
                  <c:v>3</c:v>
                </c:pt>
                <c:pt idx="5">
                  <c:v>27</c:v>
                </c:pt>
                <c:pt idx="6">
                  <c:v>11</c:v>
                </c:pt>
                <c:pt idx="7">
                  <c:v>5</c:v>
                </c:pt>
                <c:pt idx="8">
                  <c:v>23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F-47F6-9A5D-F02C7C5A4E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42212047"/>
        <c:axId val="1742211631"/>
      </c:barChart>
      <c:catAx>
        <c:axId val="1742212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42211631"/>
        <c:crosses val="autoZero"/>
        <c:auto val="1"/>
        <c:lblAlgn val="ctr"/>
        <c:lblOffset val="100"/>
        <c:noMultiLvlLbl val="0"/>
      </c:catAx>
      <c:valAx>
        <c:axId val="174221163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42212047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 i="0" u="none" strike="noStrike" baseline="0">
                <a:effectLst/>
              </a:rPr>
              <a:t>Programa de Doctorado en Ciencias de la Tierra</a:t>
            </a:r>
            <a:endParaRPr lang="es-ES" sz="14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Indicadores!$O$53:$T$59</c:f>
              <c:strCache>
                <c:ptCount val="7"/>
                <c:pt idx="0">
                  <c:v>Geología aplicada a la obra civil y riesgo geológico</c:v>
                </c:pt>
                <c:pt idx="1">
                  <c:v>Geología estructural y Tectónica</c:v>
                </c:pt>
                <c:pt idx="2">
                  <c:v>Geoquímica</c:v>
                </c:pt>
                <c:pt idx="3">
                  <c:v>Mineralogía</c:v>
                </c:pt>
                <c:pt idx="4">
                  <c:v>Paleo-climatología y dinámica atmosférica</c:v>
                </c:pt>
                <c:pt idx="5">
                  <c:v>Paleontología y Paleoecología</c:v>
                </c:pt>
                <c:pt idx="6">
                  <c:v>Petrogénesis y Yacimientos minerales</c:v>
                </c:pt>
              </c:strCache>
            </c:strRef>
          </c:cat>
          <c:val>
            <c:numRef>
              <c:f>Indicadores!$U$53:$U$59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9-451D-A574-02B777AD2DB5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Indicadores!$O$53:$T$59</c:f>
              <c:strCache>
                <c:ptCount val="7"/>
                <c:pt idx="0">
                  <c:v>Geología aplicada a la obra civil y riesgo geológico</c:v>
                </c:pt>
                <c:pt idx="1">
                  <c:v>Geología estructural y Tectónica</c:v>
                </c:pt>
                <c:pt idx="2">
                  <c:v>Geoquímica</c:v>
                </c:pt>
                <c:pt idx="3">
                  <c:v>Mineralogía</c:v>
                </c:pt>
                <c:pt idx="4">
                  <c:v>Paleo-climatología y dinámica atmosférica</c:v>
                </c:pt>
                <c:pt idx="5">
                  <c:v>Paleontología y Paleoecología</c:v>
                </c:pt>
                <c:pt idx="6">
                  <c:v>Petrogénesis y Yacimientos minerales</c:v>
                </c:pt>
              </c:strCache>
            </c:strRef>
          </c:cat>
          <c:val>
            <c:numRef>
              <c:f>Indicadores!$AT$53:$AT$59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23</c:v>
                </c:pt>
                <c:pt idx="4">
                  <c:v>6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9-451D-A574-02B777AD2D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83820399"/>
        <c:axId val="1783823311"/>
      </c:barChart>
      <c:catAx>
        <c:axId val="1783820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3823311"/>
        <c:crosses val="autoZero"/>
        <c:auto val="1"/>
        <c:lblAlgn val="ctr"/>
        <c:lblOffset val="100"/>
        <c:noMultiLvlLbl val="0"/>
      </c:catAx>
      <c:valAx>
        <c:axId val="178382331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83820399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 i="0" u="none" strike="noStrike" baseline="0">
                <a:effectLst/>
              </a:rPr>
              <a:t>Programa de Doctorado en Dinámica de Flujos Bioquímicos y sus Aplicaciones</a:t>
            </a:r>
            <a:endParaRPr lang="es-ES" sz="14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Indicadores!$O$61:$T$63</c:f>
              <c:strCache>
                <c:ptCount val="3"/>
                <c:pt idx="0">
                  <c:v>Gestión integral de recursos atmosféricos y marinos y de las infraestructuras para su aprovechamiento</c:v>
                </c:pt>
                <c:pt idx="1">
                  <c:v>Oceanografía física y ecosistemas marinos</c:v>
                </c:pt>
                <c:pt idx="2">
                  <c:v>Procesos litorales y evolución de los sistemas costeros</c:v>
                </c:pt>
              </c:strCache>
            </c:strRef>
          </c:cat>
          <c:val>
            <c:numRef>
              <c:f>Indicadores!$U$61:$U$63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4-4B06-8F45-1A30A231B712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Indicadores!$O$61:$T$63</c:f>
              <c:strCache>
                <c:ptCount val="3"/>
                <c:pt idx="0">
                  <c:v>Gestión integral de recursos atmosféricos y marinos y de las infraestructuras para su aprovechamiento</c:v>
                </c:pt>
                <c:pt idx="1">
                  <c:v>Oceanografía física y ecosistemas marinos</c:v>
                </c:pt>
                <c:pt idx="2">
                  <c:v>Procesos litorales y evolución de los sistemas costeros</c:v>
                </c:pt>
              </c:strCache>
            </c:strRef>
          </c:cat>
          <c:val>
            <c:numRef>
              <c:f>Indicadores!$AT$61:$AT$63</c:f>
              <c:numCache>
                <c:formatCode>General</c:formatCode>
                <c:ptCount val="3"/>
                <c:pt idx="0">
                  <c:v>15</c:v>
                </c:pt>
                <c:pt idx="1">
                  <c:v>17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14-4B06-8F45-1A30A231B7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71752895"/>
        <c:axId val="1771754143"/>
      </c:barChart>
      <c:catAx>
        <c:axId val="177175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71754143"/>
        <c:crosses val="autoZero"/>
        <c:auto val="1"/>
        <c:lblAlgn val="ctr"/>
        <c:lblOffset val="100"/>
        <c:noMultiLvlLbl val="0"/>
      </c:catAx>
      <c:valAx>
        <c:axId val="177175414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1752895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 i="0" u="none" strike="noStrike" baseline="0">
                <a:effectLst/>
              </a:rPr>
              <a:t>Programa de Doctorado en Estadística Matemática y Aplicada</a:t>
            </a:r>
            <a:endParaRPr lang="es-ES" sz="14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Indicadores!$O$65:$T$66</c:f>
              <c:strCache>
                <c:ptCount val="2"/>
                <c:pt idx="0">
                  <c:v>Análisis multivariante e inferencia en procesos multivariantes</c:v>
                </c:pt>
                <c:pt idx="1">
                  <c:v>Bioestadística</c:v>
                </c:pt>
              </c:strCache>
            </c:strRef>
          </c:cat>
          <c:val>
            <c:numRef>
              <c:f>Indicadores!$U$65:$U$66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1C-4F38-95BE-2FEA3488D213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Indicadores!$O$65:$T$66</c:f>
              <c:strCache>
                <c:ptCount val="2"/>
                <c:pt idx="0">
                  <c:v>Análisis multivariante e inferencia en procesos multivariantes</c:v>
                </c:pt>
                <c:pt idx="1">
                  <c:v>Bioestadística</c:v>
                </c:pt>
              </c:strCache>
            </c:strRef>
          </c:cat>
          <c:val>
            <c:numRef>
              <c:f>Indicadores!$AT$65:$AT$66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1C-4F38-95BE-2FEA3488D2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12083791"/>
        <c:axId val="1712087951"/>
      </c:barChart>
      <c:catAx>
        <c:axId val="1712083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12087951"/>
        <c:crosses val="autoZero"/>
        <c:auto val="1"/>
        <c:lblAlgn val="ctr"/>
        <c:lblOffset val="100"/>
        <c:noMultiLvlLbl val="0"/>
      </c:catAx>
      <c:valAx>
        <c:axId val="17120879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2083791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 i="0" u="none" strike="noStrike" baseline="0">
                <a:effectLst/>
              </a:rPr>
              <a:t>Programa de Doctorado en Física </a:t>
            </a:r>
          </a:p>
          <a:p>
            <a:pPr>
              <a:defRPr/>
            </a:pPr>
            <a:r>
              <a:rPr lang="es-ES" sz="1400" b="0" i="0" u="none" strike="noStrike" baseline="0">
                <a:effectLst/>
              </a:rPr>
              <a:t>y Ciencias del Espacio </a:t>
            </a:r>
            <a:endParaRPr lang="es-ES" sz="14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Indicadores!$O$68:$T$74</c:f>
              <c:strCache>
                <c:ptCount val="7"/>
                <c:pt idx="0">
                  <c:v>Astrofísica Planetaria</c:v>
                </c:pt>
                <c:pt idx="1">
                  <c:v>Ciencia y Tecnología de Nanopartículas e Interfases</c:v>
                </c:pt>
                <c:pt idx="2">
                  <c:v>Ciencias Atmosféricas y Meteorología</c:v>
                </c:pt>
                <c:pt idx="3">
                  <c:v>Física Atómica, Molecular y Nuclear</c:v>
                </c:pt>
                <c:pt idx="4">
                  <c:v>Física de Dispositivos Electrónicos y Semiconductores</c:v>
                </c:pt>
                <c:pt idx="5">
                  <c:v>Física de Partículas, Astropartículas y Cosmología</c:v>
                </c:pt>
                <c:pt idx="6">
                  <c:v>Óptica</c:v>
                </c:pt>
              </c:strCache>
            </c:strRef>
          </c:cat>
          <c:val>
            <c:numRef>
              <c:f>Indicadores!$U$68:$U$74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2-4205-B892-8B78DDD51AD1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Indicadores!$O$68:$T$74</c:f>
              <c:strCache>
                <c:ptCount val="7"/>
                <c:pt idx="0">
                  <c:v>Astrofísica Planetaria</c:v>
                </c:pt>
                <c:pt idx="1">
                  <c:v>Ciencia y Tecnología de Nanopartículas e Interfases</c:v>
                </c:pt>
                <c:pt idx="2">
                  <c:v>Ciencias Atmosféricas y Meteorología</c:v>
                </c:pt>
                <c:pt idx="3">
                  <c:v>Física Atómica, Molecular y Nuclear</c:v>
                </c:pt>
                <c:pt idx="4">
                  <c:v>Física de Dispositivos Electrónicos y Semiconductores</c:v>
                </c:pt>
                <c:pt idx="5">
                  <c:v>Física de Partículas, Astropartículas y Cosmología</c:v>
                </c:pt>
                <c:pt idx="6">
                  <c:v>Óptica</c:v>
                </c:pt>
              </c:strCache>
            </c:strRef>
          </c:cat>
          <c:val>
            <c:numRef>
              <c:f>Indicadores!$AT$68:$AT$74</c:f>
              <c:numCache>
                <c:formatCode>General</c:formatCode>
                <c:ptCount val="7"/>
                <c:pt idx="0">
                  <c:v>24</c:v>
                </c:pt>
                <c:pt idx="1">
                  <c:v>30</c:v>
                </c:pt>
                <c:pt idx="2">
                  <c:v>8</c:v>
                </c:pt>
                <c:pt idx="3">
                  <c:v>7</c:v>
                </c:pt>
                <c:pt idx="4">
                  <c:v>32</c:v>
                </c:pt>
                <c:pt idx="5">
                  <c:v>20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92-4205-B892-8B78DDD51A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79925535"/>
        <c:axId val="1779926367"/>
      </c:barChart>
      <c:catAx>
        <c:axId val="1779925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79926367"/>
        <c:crosses val="autoZero"/>
        <c:auto val="1"/>
        <c:lblAlgn val="ctr"/>
        <c:lblOffset val="100"/>
        <c:noMultiLvlLbl val="0"/>
      </c:catAx>
      <c:valAx>
        <c:axId val="177992636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9925535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 i="0" u="none" strike="noStrike" baseline="0">
                <a:effectLst/>
              </a:rPr>
              <a:t>Programa de Doctorado en Física y Matemáticas</a:t>
            </a:r>
            <a:endParaRPr lang="es-ES" sz="14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Indicadores!$O$76:$T$84</c:f>
              <c:strCache>
                <c:ptCount val="9"/>
                <c:pt idx="0">
                  <c:v>Astrofísica estelar. Evolución estelar. Supernovas</c:v>
                </c:pt>
                <c:pt idx="1">
                  <c:v>Astrofísica galáctica. Radioastronomía. Medio interestelar. Estructura galáctica. Formación estelar</c:v>
                </c:pt>
                <c:pt idx="2">
                  <c:v>Biomatemáticas. Biofísica. Dinámica celular y tumoral.Formación de patrones. Ecología</c:v>
                </c:pt>
                <c:pt idx="3">
                  <c:v>Cosmología. Fondo cósmico de microondas. Estructura a gran escala</c:v>
                </c:pt>
                <c:pt idx="4">
                  <c:v>Fenómenos cooperativos en Física Estadística: teoría y aplicaciones interdisciplinares. Teoría y simulación de sistemas complejos</c:v>
                </c:pt>
                <c:pt idx="5">
                  <c:v>Física de la Información. Átomos en Campos Externos. Teoría de Aproximación</c:v>
                </c:pt>
                <c:pt idx="6">
                  <c:v>Geometría y dinámica de partículas y cuerdas relativistas. Geometría de Lorentz y Gravitación</c:v>
                </c:pt>
                <c:pt idx="7">
                  <c:v>Sistemas dinámicos. Dinámica hamiltoniana. Teoría cualitativa de ecuaciones diferenciales. Optimización y métodos variacionales. Análisis no lineal y ecuaciones elípticas</c:v>
                </c:pt>
                <c:pt idx="8">
                  <c:v>Teoría cuántica de campos no lineales. Representación de grupos de dimensión infinita. Cuantización de teorías Gauge. Gravedad cuántica. Física Matemática</c:v>
                </c:pt>
              </c:strCache>
            </c:strRef>
          </c:cat>
          <c:val>
            <c:numRef>
              <c:f>Indicadores!$U$76:$U$84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1-43E9-9CF5-CA18C6FFD342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Indicadores!$O$76:$T$84</c:f>
              <c:strCache>
                <c:ptCount val="9"/>
                <c:pt idx="0">
                  <c:v>Astrofísica estelar. Evolución estelar. Supernovas</c:v>
                </c:pt>
                <c:pt idx="1">
                  <c:v>Astrofísica galáctica. Radioastronomía. Medio interestelar. Estructura galáctica. Formación estelar</c:v>
                </c:pt>
                <c:pt idx="2">
                  <c:v>Biomatemáticas. Biofísica. Dinámica celular y tumoral.Formación de patrones. Ecología</c:v>
                </c:pt>
                <c:pt idx="3">
                  <c:v>Cosmología. Fondo cósmico de microondas. Estructura a gran escala</c:v>
                </c:pt>
                <c:pt idx="4">
                  <c:v>Fenómenos cooperativos en Física Estadística: teoría y aplicaciones interdisciplinares. Teoría y simulación de sistemas complejos</c:v>
                </c:pt>
                <c:pt idx="5">
                  <c:v>Física de la Información. Átomos en Campos Externos. Teoría de Aproximación</c:v>
                </c:pt>
                <c:pt idx="6">
                  <c:v>Geometría y dinámica de partículas y cuerdas relativistas. Geometría de Lorentz y Gravitación</c:v>
                </c:pt>
                <c:pt idx="7">
                  <c:v>Sistemas dinámicos. Dinámica hamiltoniana. Teoría cualitativa de ecuaciones diferenciales. Optimización y métodos variacionales. Análisis no lineal y ecuaciones elípticas</c:v>
                </c:pt>
                <c:pt idx="8">
                  <c:v>Teoría cuántica de campos no lineales. Representación de grupos de dimensión infinita. Cuantización de teorías Gauge. Gravedad cuántica. Física Matemática</c:v>
                </c:pt>
              </c:strCache>
            </c:strRef>
          </c:cat>
          <c:val>
            <c:numRef>
              <c:f>Indicadores!$AT$76:$AT$84</c:f>
              <c:numCache>
                <c:formatCode>General</c:formatCode>
                <c:ptCount val="9"/>
                <c:pt idx="0">
                  <c:v>11</c:v>
                </c:pt>
                <c:pt idx="1">
                  <c:v>93</c:v>
                </c:pt>
                <c:pt idx="2">
                  <c:v>7</c:v>
                </c:pt>
                <c:pt idx="3">
                  <c:v>12</c:v>
                </c:pt>
                <c:pt idx="4">
                  <c:v>28</c:v>
                </c:pt>
                <c:pt idx="5">
                  <c:v>39</c:v>
                </c:pt>
                <c:pt idx="6">
                  <c:v>3</c:v>
                </c:pt>
                <c:pt idx="7">
                  <c:v>25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61-43E9-9CF5-CA18C6FFD3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69683311"/>
        <c:axId val="1769684143"/>
      </c:barChart>
      <c:catAx>
        <c:axId val="1769683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69684143"/>
        <c:crosses val="autoZero"/>
        <c:auto val="1"/>
        <c:lblAlgn val="ctr"/>
        <c:lblOffset val="100"/>
        <c:noMultiLvlLbl val="0"/>
      </c:catAx>
      <c:valAx>
        <c:axId val="176968414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69683311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600" b="0" i="0" u="none" strike="noStrike" baseline="0">
                <a:effectLst/>
              </a:rPr>
              <a:t>Programa de Doctorado en Ingeniería Civil</a:t>
            </a:r>
            <a:endParaRPr lang="es-ES" sz="16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Indicadores!$O$86:$T$91</c:f>
              <c:strCache>
                <c:ptCount val="6"/>
                <c:pt idx="0">
                  <c:v>Dinámica de Estructuras e Ingeniería Sísmica</c:v>
                </c:pt>
                <c:pt idx="1">
                  <c:v>Hormigón y Acero Estructural</c:v>
                </c:pt>
                <c:pt idx="2">
                  <c:v>Ingeniería de la Construcción y del Terreno</c:v>
                </c:pt>
                <c:pt idx="3">
                  <c:v>Ordenación del Territorio. Evaluación y Planificación Ambiental</c:v>
                </c:pt>
                <c:pt idx="4">
                  <c:v>Transportes, Energía y Medioambiente</c:v>
                </c:pt>
                <c:pt idx="5">
                  <c:v>Tratamiento de Aguas</c:v>
                </c:pt>
              </c:strCache>
            </c:strRef>
          </c:cat>
          <c:val>
            <c:numRef>
              <c:f>Indicadores!$U$86:$U$91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D-4A73-9512-D3BCFA94F82C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Indicadores!$O$86:$T$91</c:f>
              <c:strCache>
                <c:ptCount val="6"/>
                <c:pt idx="0">
                  <c:v>Dinámica de Estructuras e Ingeniería Sísmica</c:v>
                </c:pt>
                <c:pt idx="1">
                  <c:v>Hormigón y Acero Estructural</c:v>
                </c:pt>
                <c:pt idx="2">
                  <c:v>Ingeniería de la Construcción y del Terreno</c:v>
                </c:pt>
                <c:pt idx="3">
                  <c:v>Ordenación del Territorio. Evaluación y Planificación Ambiental</c:v>
                </c:pt>
                <c:pt idx="4">
                  <c:v>Transportes, Energía y Medioambiente</c:v>
                </c:pt>
                <c:pt idx="5">
                  <c:v>Tratamiento de Aguas</c:v>
                </c:pt>
              </c:strCache>
            </c:strRef>
          </c:cat>
          <c:val>
            <c:numRef>
              <c:f>Indicadores!$AT$86:$AT$91</c:f>
              <c:numCache>
                <c:formatCode>General</c:formatCode>
                <c:ptCount val="6"/>
                <c:pt idx="0">
                  <c:v>1</c:v>
                </c:pt>
                <c:pt idx="1">
                  <c:v>17</c:v>
                </c:pt>
                <c:pt idx="2">
                  <c:v>15</c:v>
                </c:pt>
                <c:pt idx="3">
                  <c:v>3</c:v>
                </c:pt>
                <c:pt idx="4">
                  <c:v>2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3D-4A73-9512-D3BCFA94F8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43216175"/>
        <c:axId val="1743221167"/>
      </c:barChart>
      <c:catAx>
        <c:axId val="1743216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43221167"/>
        <c:crosses val="autoZero"/>
        <c:auto val="1"/>
        <c:lblAlgn val="ctr"/>
        <c:lblOffset val="100"/>
        <c:noMultiLvlLbl val="0"/>
      </c:catAx>
      <c:valAx>
        <c:axId val="174322116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43216175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 i="0" u="none" strike="noStrike" baseline="0">
                <a:effectLst/>
              </a:rPr>
              <a:t>Programa de Doctorado en Matemáticas</a:t>
            </a:r>
            <a:endParaRPr lang="es-ES" sz="14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Indicadores!$O$93:$T$94</c:f>
              <c:strCache>
                <c:ptCount val="2"/>
                <c:pt idx="0">
                  <c:v>Análisis Funcional. Espacios y Álgebras de Banach. Aplicaciones</c:v>
                </c:pt>
                <c:pt idx="1">
                  <c:v>Análisis geométrico</c:v>
                </c:pt>
              </c:strCache>
            </c:strRef>
          </c:cat>
          <c:val>
            <c:numRef>
              <c:f>Indicadores!$U$93:$U$94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9-49A3-A15B-AF9FDF01EECA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Indicadores!$O$93:$T$94</c:f>
              <c:strCache>
                <c:ptCount val="2"/>
                <c:pt idx="0">
                  <c:v>Análisis Funcional. Espacios y Álgebras de Banach. Aplicaciones</c:v>
                </c:pt>
                <c:pt idx="1">
                  <c:v>Análisis geométrico</c:v>
                </c:pt>
              </c:strCache>
            </c:strRef>
          </c:cat>
          <c:val>
            <c:numRef>
              <c:f>Indicadores!$AT$93:$AT$94</c:f>
              <c:numCache>
                <c:formatCode>General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9-49A3-A15B-AF9FDF01EE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37781535"/>
        <c:axId val="1737776959"/>
      </c:barChart>
      <c:catAx>
        <c:axId val="1737781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7776959"/>
        <c:crosses val="autoZero"/>
        <c:auto val="1"/>
        <c:lblAlgn val="ctr"/>
        <c:lblOffset val="100"/>
        <c:noMultiLvlLbl val="0"/>
      </c:catAx>
      <c:valAx>
        <c:axId val="173777695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37781535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 i="0" u="none" strike="noStrike" baseline="0">
                <a:effectLst/>
              </a:rPr>
              <a:t>Programa de Doctorado en Química</a:t>
            </a:r>
            <a:endParaRPr lang="es-ES" sz="14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Indicadores!$O$96:$T$103</c:f>
              <c:strCache>
                <c:ptCount val="8"/>
                <c:pt idx="0">
                  <c:v>Adsorción y catálisis</c:v>
                </c:pt>
                <c:pt idx="1">
                  <c:v>Bioprocesos</c:v>
                </c:pt>
                <c:pt idx="2">
                  <c:v>I+D+i en tecnología analítica instrumental</c:v>
                </c:pt>
                <c:pt idx="3">
                  <c:v>Metodologías de obtención de información analítica en sistemas reales</c:v>
                </c:pt>
                <c:pt idx="4">
                  <c:v>Plegamiento de proteínas e interacción con ligandos</c:v>
                </c:pt>
                <c:pt idx="5">
                  <c:v>Proteómica e ingeniería de proteínas</c:v>
                </c:pt>
                <c:pt idx="6">
                  <c:v>Química de la coordinación</c:v>
                </c:pt>
                <c:pt idx="7">
                  <c:v>Química de productos Naturales</c:v>
                </c:pt>
              </c:strCache>
            </c:strRef>
          </c:cat>
          <c:val>
            <c:numRef>
              <c:f>Indicadores!$U$96:$U$103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5-446E-97E0-B41ECBDA0C95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Indicadores!$O$96:$T$103</c:f>
              <c:strCache>
                <c:ptCount val="8"/>
                <c:pt idx="0">
                  <c:v>Adsorción y catálisis</c:v>
                </c:pt>
                <c:pt idx="1">
                  <c:v>Bioprocesos</c:v>
                </c:pt>
                <c:pt idx="2">
                  <c:v>I+D+i en tecnología analítica instrumental</c:v>
                </c:pt>
                <c:pt idx="3">
                  <c:v>Metodologías de obtención de información analítica en sistemas reales</c:v>
                </c:pt>
                <c:pt idx="4">
                  <c:v>Plegamiento de proteínas e interacción con ligandos</c:v>
                </c:pt>
                <c:pt idx="5">
                  <c:v>Proteómica e ingeniería de proteínas</c:v>
                </c:pt>
                <c:pt idx="6">
                  <c:v>Química de la coordinación</c:v>
                </c:pt>
                <c:pt idx="7">
                  <c:v>Química de productos Naturales</c:v>
                </c:pt>
              </c:strCache>
            </c:strRef>
          </c:cat>
          <c:val>
            <c:numRef>
              <c:f>Indicadores!$AT$96:$AT$103</c:f>
              <c:numCache>
                <c:formatCode>General</c:formatCode>
                <c:ptCount val="8"/>
                <c:pt idx="0">
                  <c:v>9</c:v>
                </c:pt>
                <c:pt idx="1">
                  <c:v>2</c:v>
                </c:pt>
                <c:pt idx="2">
                  <c:v>12</c:v>
                </c:pt>
                <c:pt idx="3">
                  <c:v>76</c:v>
                </c:pt>
                <c:pt idx="4">
                  <c:v>2</c:v>
                </c:pt>
                <c:pt idx="5">
                  <c:v>2</c:v>
                </c:pt>
                <c:pt idx="6">
                  <c:v>33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55-446E-97E0-B41ECBDA0C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43213263"/>
        <c:axId val="1743217007"/>
      </c:barChart>
      <c:catAx>
        <c:axId val="1743213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43217007"/>
        <c:crosses val="autoZero"/>
        <c:auto val="1"/>
        <c:lblAlgn val="ctr"/>
        <c:lblOffset val="100"/>
        <c:noMultiLvlLbl val="0"/>
      </c:catAx>
      <c:valAx>
        <c:axId val="174321700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43213263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 i="0" u="none" strike="noStrike" baseline="0">
                <a:effectLst/>
              </a:rPr>
              <a:t>Programa de Doctorado en Tecnologías de la Información y la Comunicación </a:t>
            </a:r>
            <a:endParaRPr lang="es-ES" sz="14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Indicadores!$O$105:$T$114</c:f>
              <c:strCache>
                <c:ptCount val="10"/>
                <c:pt idx="0">
                  <c:v>Aplicaciones de las TIC: Salud-Bienestar social, Medio ambiente-Energía y Agroalimentarias</c:v>
                </c:pt>
                <c:pt idx="1">
                  <c:v>Bioinformática</c:v>
                </c:pt>
                <c:pt idx="2">
                  <c:v>Especificación y Modelado de Sistemas. Desarrollo de Software</c:v>
                </c:pt>
                <c:pt idx="3">
                  <c:v>Interacción Persona-Ordenador</c:v>
                </c:pt>
                <c:pt idx="4">
                  <c:v>Minería de datos</c:v>
                </c:pt>
                <c:pt idx="5">
                  <c:v>Monitorización y Sistemas de Control Avanzados</c:v>
                </c:pt>
                <c:pt idx="6">
                  <c:v>Procesado y clasificación de imágenes y vídeo. Visión por computador</c:v>
                </c:pt>
                <c:pt idx="7">
                  <c:v>Sistemas de Información y Bases de datos</c:v>
                </c:pt>
                <c:pt idx="8">
                  <c:v>Sistemas Inteligentes de Ayuda a la Decisión</c:v>
                </c:pt>
                <c:pt idx="9">
                  <c:v>Soft computing</c:v>
                </c:pt>
              </c:strCache>
            </c:strRef>
          </c:cat>
          <c:val>
            <c:numRef>
              <c:f>Indicadores!$U$105:$U$114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5-476A-BE98-99BFF7F024DD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Indicadores!$O$105:$T$114</c:f>
              <c:strCache>
                <c:ptCount val="10"/>
                <c:pt idx="0">
                  <c:v>Aplicaciones de las TIC: Salud-Bienestar social, Medio ambiente-Energía y Agroalimentarias</c:v>
                </c:pt>
                <c:pt idx="1">
                  <c:v>Bioinformática</c:v>
                </c:pt>
                <c:pt idx="2">
                  <c:v>Especificación y Modelado de Sistemas. Desarrollo de Software</c:v>
                </c:pt>
                <c:pt idx="3">
                  <c:v>Interacción Persona-Ordenador</c:v>
                </c:pt>
                <c:pt idx="4">
                  <c:v>Minería de datos</c:v>
                </c:pt>
                <c:pt idx="5">
                  <c:v>Monitorización y Sistemas de Control Avanzados</c:v>
                </c:pt>
                <c:pt idx="6">
                  <c:v>Procesado y clasificación de imágenes y vídeo. Visión por computador</c:v>
                </c:pt>
                <c:pt idx="7">
                  <c:v>Sistemas de Información y Bases de datos</c:v>
                </c:pt>
                <c:pt idx="8">
                  <c:v>Sistemas Inteligentes de Ayuda a la Decisión</c:v>
                </c:pt>
                <c:pt idx="9">
                  <c:v>Soft computing</c:v>
                </c:pt>
              </c:strCache>
            </c:strRef>
          </c:cat>
          <c:val>
            <c:numRef>
              <c:f>Indicadores!$AT$105:$AT$114</c:f>
              <c:numCache>
                <c:formatCode>General</c:formatCode>
                <c:ptCount val="10"/>
                <c:pt idx="0">
                  <c:v>25</c:v>
                </c:pt>
                <c:pt idx="1">
                  <c:v>16</c:v>
                </c:pt>
                <c:pt idx="2">
                  <c:v>4</c:v>
                </c:pt>
                <c:pt idx="3">
                  <c:v>8</c:v>
                </c:pt>
                <c:pt idx="4">
                  <c:v>23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F5-476A-BE98-99BFF7F024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80103343"/>
        <c:axId val="1780102511"/>
      </c:barChart>
      <c:catAx>
        <c:axId val="1780103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0102511"/>
        <c:crosses val="autoZero"/>
        <c:auto val="1"/>
        <c:lblAlgn val="ctr"/>
        <c:lblOffset val="100"/>
        <c:noMultiLvlLbl val="0"/>
      </c:catAx>
      <c:valAx>
        <c:axId val="178010251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80103343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Total</a:t>
            </a:r>
            <a:r>
              <a:rPr lang="es-ES" baseline="0"/>
              <a:t> de tesis leídas por año de lectura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 cmpd="sng" algn="ctr">
              <a:solidFill>
                <a:srgbClr val="A30909"/>
              </a:solidFill>
              <a:round/>
            </a:ln>
            <a:effectLst/>
          </c:spPr>
          <c:marker>
            <c:symbol val="circle"/>
            <c:size val="12"/>
            <c:spPr>
              <a:solidFill>
                <a:schemeClr val="bg1"/>
              </a:solidFill>
              <a:ln w="19050" cap="flat" cmpd="sng" algn="ctr">
                <a:solidFill>
                  <a:srgbClr val="A30909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Indicadores!$AC$2:$AG$2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Indicadores!$AC$181:$AG$181</c:f>
              <c:numCache>
                <c:formatCode>General</c:formatCode>
                <c:ptCount val="5"/>
                <c:pt idx="0">
                  <c:v>8</c:v>
                </c:pt>
                <c:pt idx="1">
                  <c:v>21</c:v>
                </c:pt>
                <c:pt idx="2">
                  <c:v>78</c:v>
                </c:pt>
                <c:pt idx="3">
                  <c:v>225</c:v>
                </c:pt>
                <c:pt idx="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F0-4388-909B-28DBD6E9C8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554954048"/>
        <c:axId val="1554956960"/>
      </c:lineChart>
      <c:catAx>
        <c:axId val="15549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4956960"/>
        <c:crosses val="autoZero"/>
        <c:auto val="1"/>
        <c:lblAlgn val="ctr"/>
        <c:lblOffset val="100"/>
        <c:noMultiLvlLbl val="0"/>
      </c:catAx>
      <c:valAx>
        <c:axId val="1554956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495404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cap="none" baseline="0"/>
              <a:t>Número alumnos por programa de la Escuela de Doctorado </a:t>
            </a:r>
          </a:p>
          <a:p>
            <a:pPr>
              <a:defRPr/>
            </a:pPr>
            <a:r>
              <a:rPr lang="en-US" sz="1400" b="0" cap="none" baseline="0"/>
              <a:t>de Humanidades, Ciencias Sociales y Jurídicas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Indicadores!$O$115</c:f>
              <c:strCache>
                <c:ptCount val="1"/>
                <c:pt idx="0">
                  <c:v>Escuela de Doctorado de Humanidades y Ciencias Sociales y Jurídicas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(Indicadores!$O$116,Indicadores!$O$125,Indicadores!$O$131,Indicadores!$O$140,Indicadores!$O$148,Indicadores!$O$150,Indicadores!$O$153,Indicadores!$O$158,Indicadores!$O$171)</c:f>
              <c:strCache>
                <c:ptCount val="9"/>
                <c:pt idx="0">
                  <c:v>Programa de Doctorado en Ciencias de la Educación</c:v>
                </c:pt>
                <c:pt idx="1">
                  <c:v>Programa de Doctorado en Ciencias Económicas y Empresariales</c:v>
                </c:pt>
                <c:pt idx="2">
                  <c:v>Programa de Doctorado en Ciencias Jurídicas</c:v>
                </c:pt>
                <c:pt idx="3">
                  <c:v>Programa de Doctorado en Ciencias Sociales</c:v>
                </c:pt>
                <c:pt idx="4">
                  <c:v>Programa de Doctorado en Estudios de las Mujeres, Discursos y Prácticas de Género</c:v>
                </c:pt>
                <c:pt idx="5">
                  <c:v>Programa de Doctorado en Estudios Migratorios</c:v>
                </c:pt>
                <c:pt idx="6">
                  <c:v>Programa de Doctorado en Filosofía</c:v>
                </c:pt>
                <c:pt idx="7">
                  <c:v>Programa de Doctorado en Historia y Artes</c:v>
                </c:pt>
                <c:pt idx="8">
                  <c:v>Programa de Doctorado en Lenguas, Textos y Contextos</c:v>
                </c:pt>
              </c:strCache>
            </c:strRef>
          </c:cat>
          <c:val>
            <c:numRef>
              <c:f>(Indicadores!$U$116,Indicadores!$U$125,Indicadores!$U$131,Indicadores!$U$140,Indicadores!$U$148,Indicadores!$U$150,Indicadores!$U$153,Indicadores!$U$158,Indicadores!$U$171)</c:f>
              <c:numCache>
                <c:formatCode>General</c:formatCode>
                <c:ptCount val="9"/>
                <c:pt idx="0">
                  <c:v>41</c:v>
                </c:pt>
                <c:pt idx="1">
                  <c:v>10</c:v>
                </c:pt>
                <c:pt idx="2">
                  <c:v>18</c:v>
                </c:pt>
                <c:pt idx="3">
                  <c:v>17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56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7-4E0F-8D8B-5473C16ABB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64629824"/>
        <c:axId val="1164628992"/>
      </c:barChart>
      <c:catAx>
        <c:axId val="116462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cap="none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4628992"/>
        <c:crosses val="autoZero"/>
        <c:auto val="1"/>
        <c:lblAlgn val="ctr"/>
        <c:lblOffset val="100"/>
        <c:noMultiLvlLbl val="0"/>
      </c:catAx>
      <c:valAx>
        <c:axId val="11646289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6462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cap="none" baseline="0">
                <a:effectLst/>
              </a:rPr>
              <a:t>Número publicaciones por programa de la Escuela de Doctorado de Humanidades, Ciencias Sociales y Jurídicas</a:t>
            </a:r>
            <a:endParaRPr lang="es-ES" sz="1400" cap="none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(Indicadores!$O$116,Indicadores!$O$125,Indicadores!$O$131,Indicadores!$O$140,Indicadores!$O$148,Indicadores!$O$150,Indicadores!$O$153,Indicadores!$O$158,Indicadores!$O$171)</c:f>
              <c:strCache>
                <c:ptCount val="9"/>
                <c:pt idx="0">
                  <c:v>Programa de Doctorado en Ciencias de la Educación</c:v>
                </c:pt>
                <c:pt idx="1">
                  <c:v>Programa de Doctorado en Ciencias Económicas y Empresariales</c:v>
                </c:pt>
                <c:pt idx="2">
                  <c:v>Programa de Doctorado en Ciencias Jurídicas</c:v>
                </c:pt>
                <c:pt idx="3">
                  <c:v>Programa de Doctorado en Ciencias Sociales</c:v>
                </c:pt>
                <c:pt idx="4">
                  <c:v>Programa de Doctorado en Estudios de las Mujeres, Discursos y Prácticas de Género</c:v>
                </c:pt>
                <c:pt idx="5">
                  <c:v>Programa de Doctorado en Estudios Migratorios</c:v>
                </c:pt>
                <c:pt idx="6">
                  <c:v>Programa de Doctorado en Filosofía</c:v>
                </c:pt>
                <c:pt idx="7">
                  <c:v>Programa de Doctorado en Historia y Artes</c:v>
                </c:pt>
                <c:pt idx="8">
                  <c:v>Programa de Doctorado en Lenguas, Textos y Contextos</c:v>
                </c:pt>
              </c:strCache>
            </c:strRef>
          </c:cat>
          <c:val>
            <c:numRef>
              <c:f>(Indicadores!$AT$116,Indicadores!$AT$125,Indicadores!$AT$131,Indicadores!$AT$140,Indicadores!$AT$148,Indicadores!$AT$150,Indicadores!$AT$153,Indicadores!$AT$158,Indicadores!$AT$171)</c:f>
              <c:numCache>
                <c:formatCode>General</c:formatCode>
                <c:ptCount val="9"/>
                <c:pt idx="0">
                  <c:v>335</c:v>
                </c:pt>
                <c:pt idx="1">
                  <c:v>40</c:v>
                </c:pt>
                <c:pt idx="2">
                  <c:v>104</c:v>
                </c:pt>
                <c:pt idx="3">
                  <c:v>53</c:v>
                </c:pt>
                <c:pt idx="4">
                  <c:v>3</c:v>
                </c:pt>
                <c:pt idx="5">
                  <c:v>22</c:v>
                </c:pt>
                <c:pt idx="6">
                  <c:v>22</c:v>
                </c:pt>
                <c:pt idx="7">
                  <c:v>177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4-4554-8261-1C9150190C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93687440"/>
        <c:axId val="1293687024"/>
      </c:barChart>
      <c:catAx>
        <c:axId val="1293687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cap="none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93687024"/>
        <c:crosses val="autoZero"/>
        <c:auto val="1"/>
        <c:lblAlgn val="ctr"/>
        <c:lblOffset val="100"/>
        <c:noMultiLvlLbl val="0"/>
      </c:catAx>
      <c:valAx>
        <c:axId val="1293687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9368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Número de alumnos por género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Indicadores!$V$2</c:f>
              <c:strCache>
                <c:ptCount val="1"/>
                <c:pt idx="0">
                  <c:v>Hombres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60000"/>
                    <a:lumOff val="40000"/>
                  </a:schemeClr>
                </a:gs>
                <a:gs pos="56000">
                  <a:schemeClr val="accent5">
                    <a:lumMod val="75000"/>
                  </a:schemeClr>
                </a:gs>
                <a:gs pos="100000">
                  <a:schemeClr val="accent5">
                    <a:lumMod val="50000"/>
                  </a:schemeClr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(Indicadores!$O$171,Indicadores!$O$158,Indicadores!$O$153,Indicadores!$O$150,Indicadores!$O$148,Indicadores!$O$140,Indicadores!$O$131,Indicadores!$O$125,Indicadores!$O$116)</c:f>
              <c:strCache>
                <c:ptCount val="9"/>
                <c:pt idx="0">
                  <c:v>Programa de Doctorado en Lenguas, Textos y Contextos</c:v>
                </c:pt>
                <c:pt idx="1">
                  <c:v>Programa de Doctorado en Historia y Artes</c:v>
                </c:pt>
                <c:pt idx="2">
                  <c:v>Programa de Doctorado en Filosofía</c:v>
                </c:pt>
                <c:pt idx="3">
                  <c:v>Programa de Doctorado en Estudios Migratorios</c:v>
                </c:pt>
                <c:pt idx="4">
                  <c:v>Programa de Doctorado en Estudios de las Mujeres, Discursos y Prácticas de Género</c:v>
                </c:pt>
                <c:pt idx="5">
                  <c:v>Programa de Doctorado en Ciencias Sociales</c:v>
                </c:pt>
                <c:pt idx="6">
                  <c:v>Programa de Doctorado en Ciencias Jurídicas</c:v>
                </c:pt>
                <c:pt idx="7">
                  <c:v>Programa de Doctorado en Ciencias Económicas y Empresariales</c:v>
                </c:pt>
                <c:pt idx="8">
                  <c:v>Programa de Doctorado en Ciencias de la Educación</c:v>
                </c:pt>
              </c:strCache>
            </c:strRef>
          </c:cat>
          <c:val>
            <c:numRef>
              <c:f>(Indicadores!$V$171,Indicadores!$V$158,Indicadores!$V$153,Indicadores!$V$150,Indicadores!$V$148,Indicadores!$V$140,Indicadores!$V$131,Indicadores!$V$125,Indicadores!$V$116)</c:f>
              <c:numCache>
                <c:formatCode>General</c:formatCode>
                <c:ptCount val="9"/>
                <c:pt idx="0">
                  <c:v>7</c:v>
                </c:pt>
                <c:pt idx="1">
                  <c:v>38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7</c:v>
                </c:pt>
                <c:pt idx="6">
                  <c:v>11</c:v>
                </c:pt>
                <c:pt idx="7">
                  <c:v>8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3-480A-8055-D32D0B267D7E}"/>
            </c:ext>
          </c:extLst>
        </c:ser>
        <c:ser>
          <c:idx val="1"/>
          <c:order val="1"/>
          <c:tx>
            <c:strRef>
              <c:f>Indicadores!$W$2</c:f>
              <c:strCache>
                <c:ptCount val="1"/>
                <c:pt idx="0">
                  <c:v>Mujeres</c:v>
                </c:pt>
              </c:strCache>
            </c:strRef>
          </c:tx>
          <c:spPr>
            <a:gradFill>
              <a:gsLst>
                <a:gs pos="0">
                  <a:srgbClr val="C10B0B"/>
                </a:gs>
                <a:gs pos="56000">
                  <a:srgbClr val="8E0808"/>
                </a:gs>
                <a:gs pos="100000">
                  <a:srgbClr val="570505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(Indicadores!$O$171,Indicadores!$O$158,Indicadores!$O$153,Indicadores!$O$150,Indicadores!$O$148,Indicadores!$O$140,Indicadores!$O$131,Indicadores!$O$125,Indicadores!$O$116)</c:f>
              <c:strCache>
                <c:ptCount val="9"/>
                <c:pt idx="0">
                  <c:v>Programa de Doctorado en Lenguas, Textos y Contextos</c:v>
                </c:pt>
                <c:pt idx="1">
                  <c:v>Programa de Doctorado en Historia y Artes</c:v>
                </c:pt>
                <c:pt idx="2">
                  <c:v>Programa de Doctorado en Filosofía</c:v>
                </c:pt>
                <c:pt idx="3">
                  <c:v>Programa de Doctorado en Estudios Migratorios</c:v>
                </c:pt>
                <c:pt idx="4">
                  <c:v>Programa de Doctorado en Estudios de las Mujeres, Discursos y Prácticas de Género</c:v>
                </c:pt>
                <c:pt idx="5">
                  <c:v>Programa de Doctorado en Ciencias Sociales</c:v>
                </c:pt>
                <c:pt idx="6">
                  <c:v>Programa de Doctorado en Ciencias Jurídicas</c:v>
                </c:pt>
                <c:pt idx="7">
                  <c:v>Programa de Doctorado en Ciencias Económicas y Empresariales</c:v>
                </c:pt>
                <c:pt idx="8">
                  <c:v>Programa de Doctorado en Ciencias de la Educación</c:v>
                </c:pt>
              </c:strCache>
            </c:strRef>
          </c:cat>
          <c:val>
            <c:numRef>
              <c:f>(Indicadores!$W$171,Indicadores!$W$158,Indicadores!$W$153,Indicadores!$W$150,Indicadores!$W$148,Indicadores!$W$140,Indicadores!$W$131,Indicadores!$W$125,Indicadores!$W$116)</c:f>
              <c:numCache>
                <c:formatCode>General</c:formatCode>
                <c:ptCount val="9"/>
                <c:pt idx="0">
                  <c:v>13</c:v>
                </c:pt>
                <c:pt idx="1">
                  <c:v>18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10</c:v>
                </c:pt>
                <c:pt idx="6">
                  <c:v>7</c:v>
                </c:pt>
                <c:pt idx="7">
                  <c:v>2</c:v>
                </c:pt>
                <c:pt idx="8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3-480A-8055-D32D0B267D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6219023"/>
        <c:axId val="1006217359"/>
      </c:barChart>
      <c:catAx>
        <c:axId val="10062190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6217359"/>
        <c:crosses val="autoZero"/>
        <c:auto val="1"/>
        <c:lblAlgn val="ctr"/>
        <c:lblOffset val="100"/>
        <c:noMultiLvlLbl val="0"/>
      </c:catAx>
      <c:valAx>
        <c:axId val="100621735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06219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Número</a:t>
            </a:r>
            <a:r>
              <a:rPr lang="es-ES" baseline="0"/>
              <a:t> de publicaciones por género del alumno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Indicadores!$AU$2</c:f>
              <c:strCache>
                <c:ptCount val="1"/>
                <c:pt idx="0">
                  <c:v>Hombres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60000"/>
                    <a:lumOff val="40000"/>
                  </a:schemeClr>
                </a:gs>
                <a:gs pos="56000">
                  <a:schemeClr val="accent5">
                    <a:lumMod val="75000"/>
                  </a:schemeClr>
                </a:gs>
                <a:gs pos="100000">
                  <a:schemeClr val="accent5">
                    <a:lumMod val="50000"/>
                  </a:schemeClr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(Indicadores!$O$171,Indicadores!$O$158,Indicadores!$O$153,Indicadores!$O$150,Indicadores!$O$148,Indicadores!$O$140,Indicadores!$O$131,Indicadores!$O$125,Indicadores!$O$116)</c:f>
              <c:strCache>
                <c:ptCount val="9"/>
                <c:pt idx="0">
                  <c:v>Programa de Doctorado en Lenguas, Textos y Contextos</c:v>
                </c:pt>
                <c:pt idx="1">
                  <c:v>Programa de Doctorado en Historia y Artes</c:v>
                </c:pt>
                <c:pt idx="2">
                  <c:v>Programa de Doctorado en Filosofía</c:v>
                </c:pt>
                <c:pt idx="3">
                  <c:v>Programa de Doctorado en Estudios Migratorios</c:v>
                </c:pt>
                <c:pt idx="4">
                  <c:v>Programa de Doctorado en Estudios de las Mujeres, Discursos y Prácticas de Género</c:v>
                </c:pt>
                <c:pt idx="5">
                  <c:v>Programa de Doctorado en Ciencias Sociales</c:v>
                </c:pt>
                <c:pt idx="6">
                  <c:v>Programa de Doctorado en Ciencias Jurídicas</c:v>
                </c:pt>
                <c:pt idx="7">
                  <c:v>Programa de Doctorado en Ciencias Económicas y Empresariales</c:v>
                </c:pt>
                <c:pt idx="8">
                  <c:v>Programa de Doctorado en Ciencias de la Educación</c:v>
                </c:pt>
              </c:strCache>
            </c:strRef>
          </c:cat>
          <c:val>
            <c:numRef>
              <c:f>(Indicadores!$AU$171,Indicadores!$AU$158,Indicadores!$AU$153,Indicadores!$AU$150,Indicadores!$AU$148,Indicadores!$AU$140,Indicadores!$AU$131,Indicadores!$AU$125,Indicadores!$AU$116)</c:f>
              <c:numCache>
                <c:formatCode>General</c:formatCode>
                <c:ptCount val="9"/>
                <c:pt idx="0">
                  <c:v>11</c:v>
                </c:pt>
                <c:pt idx="1">
                  <c:v>151</c:v>
                </c:pt>
                <c:pt idx="2">
                  <c:v>15</c:v>
                </c:pt>
                <c:pt idx="3">
                  <c:v>17</c:v>
                </c:pt>
                <c:pt idx="4">
                  <c:v>0</c:v>
                </c:pt>
                <c:pt idx="5">
                  <c:v>11</c:v>
                </c:pt>
                <c:pt idx="6">
                  <c:v>74</c:v>
                </c:pt>
                <c:pt idx="7">
                  <c:v>32</c:v>
                </c:pt>
                <c:pt idx="8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0-4141-9EBF-756FC2064A13}"/>
            </c:ext>
          </c:extLst>
        </c:ser>
        <c:ser>
          <c:idx val="1"/>
          <c:order val="1"/>
          <c:tx>
            <c:strRef>
              <c:f>Indicadores!$AV$2</c:f>
              <c:strCache>
                <c:ptCount val="1"/>
                <c:pt idx="0">
                  <c:v>Mujeres</c:v>
                </c:pt>
              </c:strCache>
            </c:strRef>
          </c:tx>
          <c:spPr>
            <a:gradFill>
              <a:gsLst>
                <a:gs pos="0">
                  <a:srgbClr val="C10B0B"/>
                </a:gs>
                <a:gs pos="56000">
                  <a:srgbClr val="8E0808"/>
                </a:gs>
                <a:gs pos="100000">
                  <a:srgbClr val="570505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(Indicadores!$O$171,Indicadores!$O$158,Indicadores!$O$153,Indicadores!$O$150,Indicadores!$O$148,Indicadores!$O$140,Indicadores!$O$131,Indicadores!$O$125,Indicadores!$O$116)</c:f>
              <c:strCache>
                <c:ptCount val="9"/>
                <c:pt idx="0">
                  <c:v>Programa de Doctorado en Lenguas, Textos y Contextos</c:v>
                </c:pt>
                <c:pt idx="1">
                  <c:v>Programa de Doctorado en Historia y Artes</c:v>
                </c:pt>
                <c:pt idx="2">
                  <c:v>Programa de Doctorado en Filosofía</c:v>
                </c:pt>
                <c:pt idx="3">
                  <c:v>Programa de Doctorado en Estudios Migratorios</c:v>
                </c:pt>
                <c:pt idx="4">
                  <c:v>Programa de Doctorado en Estudios de las Mujeres, Discursos y Prácticas de Género</c:v>
                </c:pt>
                <c:pt idx="5">
                  <c:v>Programa de Doctorado en Ciencias Sociales</c:v>
                </c:pt>
                <c:pt idx="6">
                  <c:v>Programa de Doctorado en Ciencias Jurídicas</c:v>
                </c:pt>
                <c:pt idx="7">
                  <c:v>Programa de Doctorado en Ciencias Económicas y Empresariales</c:v>
                </c:pt>
                <c:pt idx="8">
                  <c:v>Programa de Doctorado en Ciencias de la Educación</c:v>
                </c:pt>
              </c:strCache>
            </c:strRef>
          </c:cat>
          <c:val>
            <c:numRef>
              <c:f>(Indicadores!$AV$171,Indicadores!$AV$158,Indicadores!$AV$153,Indicadores!$AV$150,Indicadores!$AV$148,Indicadores!$AV$140,Indicadores!$AV$131,Indicadores!$AV$125,Indicadores!$AV$116)</c:f>
              <c:numCache>
                <c:formatCode>General</c:formatCode>
                <c:ptCount val="9"/>
                <c:pt idx="0">
                  <c:v>9</c:v>
                </c:pt>
                <c:pt idx="1">
                  <c:v>26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42</c:v>
                </c:pt>
                <c:pt idx="6">
                  <c:v>30</c:v>
                </c:pt>
                <c:pt idx="7">
                  <c:v>8</c:v>
                </c:pt>
                <c:pt idx="8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80-4141-9EBF-756FC2064A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90486815"/>
        <c:axId val="790485983"/>
      </c:barChart>
      <c:catAx>
        <c:axId val="7904868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0485983"/>
        <c:crosses val="autoZero"/>
        <c:auto val="1"/>
        <c:lblAlgn val="ctr"/>
        <c:lblOffset val="100"/>
        <c:noMultiLvlLbl val="0"/>
      </c:catAx>
      <c:valAx>
        <c:axId val="79048598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90486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0" i="0" baseline="0">
                <a:effectLst/>
              </a:rPr>
              <a:t>Relación de alumnos por curso académico y Programa de Doctorado</a:t>
            </a:r>
            <a:endParaRPr lang="es-E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Indicadores!$O$116</c:f>
              <c:strCache>
                <c:ptCount val="1"/>
                <c:pt idx="0">
                  <c:v>Programa de Doctorado en Ciencias de la Educación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Indicadores!$X$116:$AB$116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23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9C-4F2C-955E-E567D3AF045C}"/>
            </c:ext>
          </c:extLst>
        </c:ser>
        <c:ser>
          <c:idx val="1"/>
          <c:order val="1"/>
          <c:tx>
            <c:strRef>
              <c:f>Indicadores!$O$125</c:f>
              <c:strCache>
                <c:ptCount val="1"/>
                <c:pt idx="0">
                  <c:v>Programa de Doctorado en Ciencias Económicas y Empresariales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Indicadores!$X$125:$AB$125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9C-4F2C-955E-E567D3AF045C}"/>
            </c:ext>
          </c:extLst>
        </c:ser>
        <c:ser>
          <c:idx val="2"/>
          <c:order val="2"/>
          <c:tx>
            <c:strRef>
              <c:f>Indicadores!$O$131</c:f>
              <c:strCache>
                <c:ptCount val="1"/>
                <c:pt idx="0">
                  <c:v>Programa de Doctorado en Ciencias Jurídicas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Indicadores!$X$131:$AB$131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11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9C-4F2C-955E-E567D3AF045C}"/>
            </c:ext>
          </c:extLst>
        </c:ser>
        <c:ser>
          <c:idx val="3"/>
          <c:order val="3"/>
          <c:tx>
            <c:strRef>
              <c:f>Indicadores!$O$140</c:f>
              <c:strCache>
                <c:ptCount val="1"/>
                <c:pt idx="0">
                  <c:v>Programa de Doctorado en Ciencias Sociales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Indicadores!$X$140:$AB$140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9C-4F2C-955E-E567D3AF045C}"/>
            </c:ext>
          </c:extLst>
        </c:ser>
        <c:ser>
          <c:idx val="4"/>
          <c:order val="4"/>
          <c:tx>
            <c:strRef>
              <c:f>Indicadores!$O$148</c:f>
              <c:strCache>
                <c:ptCount val="1"/>
                <c:pt idx="0">
                  <c:v>Programa de Doctorado en Estudios de las Mujeres, Discursos y Prácticas de Género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Indicadores!$X$148:$AB$148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9C-4F2C-955E-E567D3AF045C}"/>
            </c:ext>
          </c:extLst>
        </c:ser>
        <c:ser>
          <c:idx val="5"/>
          <c:order val="5"/>
          <c:tx>
            <c:strRef>
              <c:f>Indicadores!$O$150</c:f>
              <c:strCache>
                <c:ptCount val="1"/>
                <c:pt idx="0">
                  <c:v>Programa de Doctorado en Estudios Migratorios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Indicadores!$X$150:$AB$150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9C-4F2C-955E-E567D3AF045C}"/>
            </c:ext>
          </c:extLst>
        </c:ser>
        <c:ser>
          <c:idx val="6"/>
          <c:order val="6"/>
          <c:tx>
            <c:strRef>
              <c:f>Indicadores!$O$153</c:f>
              <c:strCache>
                <c:ptCount val="1"/>
                <c:pt idx="0">
                  <c:v>Programa de Doctorado en Filosofía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Indicadores!$X$153:$AB$153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9C-4F2C-955E-E567D3AF045C}"/>
            </c:ext>
          </c:extLst>
        </c:ser>
        <c:ser>
          <c:idx val="7"/>
          <c:order val="7"/>
          <c:tx>
            <c:strRef>
              <c:f>Indicadores!$O$158</c:f>
              <c:strCache>
                <c:ptCount val="1"/>
                <c:pt idx="0">
                  <c:v>Programa de Doctorado en Historia y Artes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Indicadores!$X$158:$AB$158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22</c:v>
                </c:pt>
                <c:pt idx="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E9C-4F2C-955E-E567D3AF045C}"/>
            </c:ext>
          </c:extLst>
        </c:ser>
        <c:ser>
          <c:idx val="8"/>
          <c:order val="8"/>
          <c:tx>
            <c:strRef>
              <c:f>Indicadores!$O$171</c:f>
              <c:strCache>
                <c:ptCount val="1"/>
                <c:pt idx="0">
                  <c:v>Programa de Doctorado en Lenguas, Textos y Contextos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Indicadores!$X$171:$AB$171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E9C-4F2C-955E-E567D3AF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9193919"/>
        <c:axId val="1169208479"/>
      </c:lineChart>
      <c:catAx>
        <c:axId val="1169193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9208479"/>
        <c:crosses val="autoZero"/>
        <c:auto val="1"/>
        <c:lblAlgn val="ctr"/>
        <c:lblOffset val="100"/>
        <c:noMultiLvlLbl val="0"/>
      </c:catAx>
      <c:valAx>
        <c:axId val="1169208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9193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/>
              <a:t>Relación de publicaciones por curso académico y Programa de Doctorado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Indicadores!$O$116</c:f>
              <c:strCache>
                <c:ptCount val="1"/>
                <c:pt idx="0">
                  <c:v>Programa de Doctorado en Ciencias de la Educación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Indicadores!$AW$116:$BA$116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90</c:v>
                </c:pt>
                <c:pt idx="3">
                  <c:v>127</c:v>
                </c:pt>
                <c:pt idx="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C6-4617-B8EB-DB59691156F3}"/>
            </c:ext>
          </c:extLst>
        </c:ser>
        <c:ser>
          <c:idx val="1"/>
          <c:order val="1"/>
          <c:tx>
            <c:strRef>
              <c:f>Indicadores!$O$125</c:f>
              <c:strCache>
                <c:ptCount val="1"/>
                <c:pt idx="0">
                  <c:v>Programa de Doctorado en Ciencias Económicas y Empresariales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Indicadores!$AW$125:$BA$125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C6-4617-B8EB-DB59691156F3}"/>
            </c:ext>
          </c:extLst>
        </c:ser>
        <c:ser>
          <c:idx val="2"/>
          <c:order val="2"/>
          <c:tx>
            <c:strRef>
              <c:f>Indicadores!$O$131</c:f>
              <c:strCache>
                <c:ptCount val="1"/>
                <c:pt idx="0">
                  <c:v>Programa de Doctorado en Ciencias Jurídicas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Indicadores!$AW$131:$BA$131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59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C6-4617-B8EB-DB59691156F3}"/>
            </c:ext>
          </c:extLst>
        </c:ser>
        <c:ser>
          <c:idx val="3"/>
          <c:order val="3"/>
          <c:tx>
            <c:strRef>
              <c:f>Indicadores!$O$140</c:f>
              <c:strCache>
                <c:ptCount val="1"/>
                <c:pt idx="0">
                  <c:v>Programa de Doctorado en Ciencias Sociales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Indicadores!$AW$140:$BA$140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</c:v>
                </c:pt>
                <c:pt idx="3">
                  <c:v>24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C6-4617-B8EB-DB59691156F3}"/>
            </c:ext>
          </c:extLst>
        </c:ser>
        <c:ser>
          <c:idx val="4"/>
          <c:order val="4"/>
          <c:tx>
            <c:strRef>
              <c:f>Indicadores!$O$148</c:f>
              <c:strCache>
                <c:ptCount val="1"/>
                <c:pt idx="0">
                  <c:v>Programa de Doctorado en Estudios de las Mujeres, Discursos y Prácticas de Género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Indicadores!$AW$148:$BA$148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C6-4617-B8EB-DB59691156F3}"/>
            </c:ext>
          </c:extLst>
        </c:ser>
        <c:ser>
          <c:idx val="5"/>
          <c:order val="5"/>
          <c:tx>
            <c:strRef>
              <c:f>Indicadores!$O$150</c:f>
              <c:strCache>
                <c:ptCount val="1"/>
                <c:pt idx="0">
                  <c:v>Programa de Doctorado en Estudios Migratorios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Indicadores!$AW$150:$BA$150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4C6-4617-B8EB-DB59691156F3}"/>
            </c:ext>
          </c:extLst>
        </c:ser>
        <c:ser>
          <c:idx val="6"/>
          <c:order val="6"/>
          <c:tx>
            <c:strRef>
              <c:f>Indicadores!$O$153</c:f>
              <c:strCache>
                <c:ptCount val="1"/>
                <c:pt idx="0">
                  <c:v>Programa de Doctorado en Filosofía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Indicadores!$AW$153:$BA$153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4C6-4617-B8EB-DB59691156F3}"/>
            </c:ext>
          </c:extLst>
        </c:ser>
        <c:ser>
          <c:idx val="7"/>
          <c:order val="7"/>
          <c:tx>
            <c:strRef>
              <c:f>Indicadores!$O$158</c:f>
              <c:strCache>
                <c:ptCount val="1"/>
                <c:pt idx="0">
                  <c:v>Programa de Doctorado en Historia y Artes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Indicadores!$AW$158:$BA$158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35</c:v>
                </c:pt>
                <c:pt idx="3">
                  <c:v>73</c:v>
                </c:pt>
                <c:pt idx="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4C6-4617-B8EB-DB59691156F3}"/>
            </c:ext>
          </c:extLst>
        </c:ser>
        <c:ser>
          <c:idx val="8"/>
          <c:order val="8"/>
          <c:tx>
            <c:strRef>
              <c:f>Indicadores!$O$171</c:f>
              <c:strCache>
                <c:ptCount val="1"/>
                <c:pt idx="0">
                  <c:v>Programa de Doctorado en Lenguas, Textos y Contextos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Indicadores!$X$2:$AB$2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Indicadores!$AW$171:$BA$171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7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4C6-4617-B8EB-DB5969115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5117935"/>
        <c:axId val="1205115439"/>
      </c:lineChart>
      <c:catAx>
        <c:axId val="1205117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05115439"/>
        <c:crosses val="autoZero"/>
        <c:auto val="1"/>
        <c:lblAlgn val="ctr"/>
        <c:lblOffset val="100"/>
        <c:noMultiLvlLbl val="0"/>
      </c:catAx>
      <c:valAx>
        <c:axId val="1205115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05117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Alumnos cotutelados por Programa de Doctorado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19050" cap="flat" cmpd="sng" algn="ctr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f>(Indicadores!$O$116,Indicadores!$O$125,Indicadores!$O$131,Indicadores!$O$140,Indicadores!$O$148,Indicadores!$O$150,Indicadores!$O$153,Indicadores!$O$158,Indicadores!$O$171)</c:f>
              <c:strCache>
                <c:ptCount val="9"/>
                <c:pt idx="0">
                  <c:v>Programa de Doctorado en Ciencias de la Educación</c:v>
                </c:pt>
                <c:pt idx="1">
                  <c:v>Programa de Doctorado en Ciencias Económicas y Empresariales</c:v>
                </c:pt>
                <c:pt idx="2">
                  <c:v>Programa de Doctorado en Ciencias Jurídicas</c:v>
                </c:pt>
                <c:pt idx="3">
                  <c:v>Programa de Doctorado en Ciencias Sociales</c:v>
                </c:pt>
                <c:pt idx="4">
                  <c:v>Programa de Doctorado en Estudios de las Mujeres, Discursos y Prácticas de Género</c:v>
                </c:pt>
                <c:pt idx="5">
                  <c:v>Programa de Doctorado en Estudios Migratorios</c:v>
                </c:pt>
                <c:pt idx="6">
                  <c:v>Programa de Doctorado en Filosofía</c:v>
                </c:pt>
                <c:pt idx="7">
                  <c:v>Programa de Doctorado en Historia y Artes</c:v>
                </c:pt>
                <c:pt idx="8">
                  <c:v>Programa de Doctorado en Lenguas, Textos y Contextos</c:v>
                </c:pt>
              </c:strCache>
            </c:strRef>
          </c:cat>
          <c:val>
            <c:numRef>
              <c:f>(Indicadores!$AH$116,Indicadores!$AH$125,Indicadores!$AH$131,Indicadores!$AH$140,Indicadores!$AH$148,Indicadores!$AH$150,Indicadores!$AH$153,Indicadores!$AH$158,Indicadores!$AH$171)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32-43D4-8DF8-45F029A44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19215263"/>
        <c:axId val="1119216511"/>
      </c:lineChart>
      <c:catAx>
        <c:axId val="111921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19216511"/>
        <c:crosses val="autoZero"/>
        <c:auto val="1"/>
        <c:lblAlgn val="ctr"/>
        <c:lblOffset val="100"/>
        <c:noMultiLvlLbl val="0"/>
      </c:catAx>
      <c:valAx>
        <c:axId val="11192165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19215263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Alumnos vinculados con la UGR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(Indicadores!$O$171,Indicadores!$O$158,Indicadores!$O$153,Indicadores!$O$150,Indicadores!$O$148,Indicadores!$O$140,Indicadores!$O$131,Indicadores!$O$125,Indicadores!$O$116)</c:f>
              <c:strCache>
                <c:ptCount val="9"/>
                <c:pt idx="0">
                  <c:v>Programa de Doctorado en Lenguas, Textos y Contextos</c:v>
                </c:pt>
                <c:pt idx="1">
                  <c:v>Programa de Doctorado en Historia y Artes</c:v>
                </c:pt>
                <c:pt idx="2">
                  <c:v>Programa de Doctorado en Filosofía</c:v>
                </c:pt>
                <c:pt idx="3">
                  <c:v>Programa de Doctorado en Estudios Migratorios</c:v>
                </c:pt>
                <c:pt idx="4">
                  <c:v>Programa de Doctorado en Estudios de las Mujeres, Discursos y Prácticas de Género</c:v>
                </c:pt>
                <c:pt idx="5">
                  <c:v>Programa de Doctorado en Ciencias Sociales</c:v>
                </c:pt>
                <c:pt idx="6">
                  <c:v>Programa de Doctorado en Ciencias Jurídicas</c:v>
                </c:pt>
                <c:pt idx="7">
                  <c:v>Programa de Doctorado en Ciencias Económicas y Empresariales</c:v>
                </c:pt>
                <c:pt idx="8">
                  <c:v>Programa de Doctorado en Ciencias de la Educación</c:v>
                </c:pt>
              </c:strCache>
            </c:strRef>
          </c:cat>
          <c:val>
            <c:numRef>
              <c:f>(Indicadores!$AL$171,Indicadores!$AL$158,Indicadores!$AL$153,Indicadores!$AL$150,Indicadores!$AL$148,Indicadores!$AL$140,Indicadores!$AL$131,Indicadores!$AL$125,Indicadores!$AL$116)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F-48C9-BC53-3920FED829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19967407"/>
        <c:axId val="1119966991"/>
      </c:barChart>
      <c:catAx>
        <c:axId val="11199674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19966991"/>
        <c:crosses val="autoZero"/>
        <c:auto val="1"/>
        <c:lblAlgn val="ctr"/>
        <c:lblOffset val="100"/>
        <c:noMultiLvlLbl val="0"/>
      </c:catAx>
      <c:valAx>
        <c:axId val="111996699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19967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Alumnos con mención internacional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(Indicadores!$O$171,Indicadores!$O$158,Indicadores!$O$153,Indicadores!$O$150,Indicadores!$O$148,Indicadores!$O$140,Indicadores!$O$131,Indicadores!$O$125,Indicadores!$O$116)</c:f>
              <c:strCache>
                <c:ptCount val="9"/>
                <c:pt idx="0">
                  <c:v>Programa de Doctorado en Lenguas, Textos y Contextos</c:v>
                </c:pt>
                <c:pt idx="1">
                  <c:v>Programa de Doctorado en Historia y Artes</c:v>
                </c:pt>
                <c:pt idx="2">
                  <c:v>Programa de Doctorado en Filosofía</c:v>
                </c:pt>
                <c:pt idx="3">
                  <c:v>Programa de Doctorado en Estudios Migratorios</c:v>
                </c:pt>
                <c:pt idx="4">
                  <c:v>Programa de Doctorado en Estudios de las Mujeres, Discursos y Prácticas de Género</c:v>
                </c:pt>
                <c:pt idx="5">
                  <c:v>Programa de Doctorado en Ciencias Sociales</c:v>
                </c:pt>
                <c:pt idx="6">
                  <c:v>Programa de Doctorado en Ciencias Jurídicas</c:v>
                </c:pt>
                <c:pt idx="7">
                  <c:v>Programa de Doctorado en Ciencias Económicas y Empresariales</c:v>
                </c:pt>
                <c:pt idx="8">
                  <c:v>Programa de Doctorado en Ciencias de la Educación</c:v>
                </c:pt>
              </c:strCache>
            </c:strRef>
          </c:cat>
          <c:val>
            <c:numRef>
              <c:f>(Indicadores!$AM$171,Indicadores!$AM$158,Indicadores!$AM$153,Indicadores!$AM$150,Indicadores!$AM$148,Indicadores!$AM$140,Indicadores!$AM$131,Indicadores!$AM$125,Indicadores!$AM$116)</c:f>
              <c:numCache>
                <c:formatCode>General</c:formatCode>
                <c:ptCount val="9"/>
                <c:pt idx="0">
                  <c:v>8</c:v>
                </c:pt>
                <c:pt idx="1">
                  <c:v>9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8-42DD-BBF8-978A9F38FA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51932175"/>
        <c:axId val="851930095"/>
      </c:barChart>
      <c:catAx>
        <c:axId val="8519321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51930095"/>
        <c:crosses val="autoZero"/>
        <c:auto val="1"/>
        <c:lblAlgn val="ctr"/>
        <c:lblOffset val="100"/>
        <c:noMultiLvlLbl val="0"/>
      </c:catAx>
      <c:valAx>
        <c:axId val="85193009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51932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Tesis publicadas en Digibug, TESEO y Dialnet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Indicadores!$AQ$1</c:f>
              <c:strCache>
                <c:ptCount val="1"/>
                <c:pt idx="0">
                  <c:v>Tesis en Digibug</c:v>
                </c:pt>
              </c:strCache>
            </c:strRef>
          </c:tx>
          <c:spPr>
            <a:gradFill>
              <a:gsLst>
                <a:gs pos="0">
                  <a:srgbClr val="C10B0B"/>
                </a:gs>
                <a:gs pos="56000">
                  <a:srgbClr val="8E0808"/>
                </a:gs>
                <a:gs pos="100000">
                  <a:srgbClr val="570505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(Indicadores!$O$116,Indicadores!$O$125,Indicadores!$O$131,Indicadores!$O$140,Indicadores!$O$148,Indicadores!$O$150,Indicadores!$O$153,Indicadores!$O$158,Indicadores!$O$171)</c:f>
              <c:strCache>
                <c:ptCount val="9"/>
                <c:pt idx="0">
                  <c:v>Programa de Doctorado en Ciencias de la Educación</c:v>
                </c:pt>
                <c:pt idx="1">
                  <c:v>Programa de Doctorado en Ciencias Económicas y Empresariales</c:v>
                </c:pt>
                <c:pt idx="2">
                  <c:v>Programa de Doctorado en Ciencias Jurídicas</c:v>
                </c:pt>
                <c:pt idx="3">
                  <c:v>Programa de Doctorado en Ciencias Sociales</c:v>
                </c:pt>
                <c:pt idx="4">
                  <c:v>Programa de Doctorado en Estudios de las Mujeres, Discursos y Prácticas de Género</c:v>
                </c:pt>
                <c:pt idx="5">
                  <c:v>Programa de Doctorado en Estudios Migratorios</c:v>
                </c:pt>
                <c:pt idx="6">
                  <c:v>Programa de Doctorado en Filosofía</c:v>
                </c:pt>
                <c:pt idx="7">
                  <c:v>Programa de Doctorado en Historia y Artes</c:v>
                </c:pt>
                <c:pt idx="8">
                  <c:v>Programa de Doctorado en Lenguas, Textos y Contextos</c:v>
                </c:pt>
              </c:strCache>
            </c:strRef>
          </c:cat>
          <c:val>
            <c:numRef>
              <c:f>(Indicadores!$AQ$116,Indicadores!$AQ$125,Indicadores!$AQ$131,Indicadores!$AQ$140,Indicadores!$AQ$148,Indicadores!$AQ$150,Indicadores!$AQ$153,Indicadores!$AQ$158,Indicadores!$AQ$171)</c:f>
              <c:numCache>
                <c:formatCode>General</c:formatCode>
                <c:ptCount val="9"/>
                <c:pt idx="0">
                  <c:v>37</c:v>
                </c:pt>
                <c:pt idx="1">
                  <c:v>9</c:v>
                </c:pt>
                <c:pt idx="2">
                  <c:v>16</c:v>
                </c:pt>
                <c:pt idx="3">
                  <c:v>15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36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B-4566-97C1-D5E10AF21988}"/>
            </c:ext>
          </c:extLst>
        </c:ser>
        <c:ser>
          <c:idx val="1"/>
          <c:order val="1"/>
          <c:tx>
            <c:strRef>
              <c:f>Indicadores!$AR$1</c:f>
              <c:strCache>
                <c:ptCount val="1"/>
                <c:pt idx="0">
                  <c:v>Tesis en TESEO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(Indicadores!$O$116,Indicadores!$O$125,Indicadores!$O$131,Indicadores!$O$140,Indicadores!$O$148,Indicadores!$O$150,Indicadores!$O$153,Indicadores!$O$158,Indicadores!$O$171)</c:f>
              <c:strCache>
                <c:ptCount val="9"/>
                <c:pt idx="0">
                  <c:v>Programa de Doctorado en Ciencias de la Educación</c:v>
                </c:pt>
                <c:pt idx="1">
                  <c:v>Programa de Doctorado en Ciencias Económicas y Empresariales</c:v>
                </c:pt>
                <c:pt idx="2">
                  <c:v>Programa de Doctorado en Ciencias Jurídicas</c:v>
                </c:pt>
                <c:pt idx="3">
                  <c:v>Programa de Doctorado en Ciencias Sociales</c:v>
                </c:pt>
                <c:pt idx="4">
                  <c:v>Programa de Doctorado en Estudios de las Mujeres, Discursos y Prácticas de Género</c:v>
                </c:pt>
                <c:pt idx="5">
                  <c:v>Programa de Doctorado en Estudios Migratorios</c:v>
                </c:pt>
                <c:pt idx="6">
                  <c:v>Programa de Doctorado en Filosofía</c:v>
                </c:pt>
                <c:pt idx="7">
                  <c:v>Programa de Doctorado en Historia y Artes</c:v>
                </c:pt>
                <c:pt idx="8">
                  <c:v>Programa de Doctorado en Lenguas, Textos y Contextos</c:v>
                </c:pt>
              </c:strCache>
            </c:strRef>
          </c:cat>
          <c:val>
            <c:numRef>
              <c:f>(Indicadores!$AR$116,Indicadores!$AR$125,Indicadores!$AR$131,Indicadores!$AR$140,Indicadores!$AR$148,Indicadores!$AR$150,Indicadores!$AR$153,Indicadores!$AR$158,Indicadores!$AR$171)</c:f>
              <c:numCache>
                <c:formatCode>General</c:formatCode>
                <c:ptCount val="9"/>
                <c:pt idx="0">
                  <c:v>18</c:v>
                </c:pt>
                <c:pt idx="1">
                  <c:v>5</c:v>
                </c:pt>
                <c:pt idx="2">
                  <c:v>8</c:v>
                </c:pt>
                <c:pt idx="3">
                  <c:v>7</c:v>
                </c:pt>
                <c:pt idx="4">
                  <c:v>0</c:v>
                </c:pt>
                <c:pt idx="5">
                  <c:v>4</c:v>
                </c:pt>
                <c:pt idx="6">
                  <c:v>3</c:v>
                </c:pt>
                <c:pt idx="7">
                  <c:v>22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8B-4566-97C1-D5E10AF21988}"/>
            </c:ext>
          </c:extLst>
        </c:ser>
        <c:ser>
          <c:idx val="2"/>
          <c:order val="2"/>
          <c:tx>
            <c:strRef>
              <c:f>Indicadores!$AS$1</c:f>
              <c:strCache>
                <c:ptCount val="1"/>
                <c:pt idx="0">
                  <c:v>Tesis en Dialnet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69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(Indicadores!$O$116,Indicadores!$O$125,Indicadores!$O$131,Indicadores!$O$140,Indicadores!$O$148,Indicadores!$O$150,Indicadores!$O$153,Indicadores!$O$158,Indicadores!$O$171)</c:f>
              <c:strCache>
                <c:ptCount val="9"/>
                <c:pt idx="0">
                  <c:v>Programa de Doctorado en Ciencias de la Educación</c:v>
                </c:pt>
                <c:pt idx="1">
                  <c:v>Programa de Doctorado en Ciencias Económicas y Empresariales</c:v>
                </c:pt>
                <c:pt idx="2">
                  <c:v>Programa de Doctorado en Ciencias Jurídicas</c:v>
                </c:pt>
                <c:pt idx="3">
                  <c:v>Programa de Doctorado en Ciencias Sociales</c:v>
                </c:pt>
                <c:pt idx="4">
                  <c:v>Programa de Doctorado en Estudios de las Mujeres, Discursos y Prácticas de Género</c:v>
                </c:pt>
                <c:pt idx="5">
                  <c:v>Programa de Doctorado en Estudios Migratorios</c:v>
                </c:pt>
                <c:pt idx="6">
                  <c:v>Programa de Doctorado en Filosofía</c:v>
                </c:pt>
                <c:pt idx="7">
                  <c:v>Programa de Doctorado en Historia y Artes</c:v>
                </c:pt>
                <c:pt idx="8">
                  <c:v>Programa de Doctorado en Lenguas, Textos y Contextos</c:v>
                </c:pt>
              </c:strCache>
            </c:strRef>
          </c:cat>
          <c:val>
            <c:numRef>
              <c:f>(Indicadores!$AS$116,Indicadores!$AS$125,Indicadores!$AS$131,Indicadores!$AS$140,Indicadores!$AS$148,Indicadores!$AS$150,Indicadores!$AS$153,Indicadores!$AS$158,Indicadores!$AS$171)</c:f>
              <c:numCache>
                <c:formatCode>General</c:formatCode>
                <c:ptCount val="9"/>
                <c:pt idx="0">
                  <c:v>40</c:v>
                </c:pt>
                <c:pt idx="1">
                  <c:v>8</c:v>
                </c:pt>
                <c:pt idx="2">
                  <c:v>16</c:v>
                </c:pt>
                <c:pt idx="3">
                  <c:v>17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47</c:v>
                </c:pt>
                <c:pt idx="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8B-4566-97C1-D5E10AF219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43470367"/>
        <c:axId val="843469535"/>
      </c:barChart>
      <c:catAx>
        <c:axId val="843470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3469535"/>
        <c:crosses val="autoZero"/>
        <c:auto val="1"/>
        <c:lblAlgn val="ctr"/>
        <c:lblOffset val="100"/>
        <c:noMultiLvlLbl val="0"/>
      </c:catAx>
      <c:valAx>
        <c:axId val="84346953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43470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Total</a:t>
            </a:r>
            <a:r>
              <a:rPr lang="es-ES" baseline="0"/>
              <a:t> p</a:t>
            </a:r>
            <a:r>
              <a:rPr lang="es-ES"/>
              <a:t>ublicaciones</a:t>
            </a:r>
            <a:r>
              <a:rPr lang="es-ES" baseline="0"/>
              <a:t> por año de lectura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circle"/>
            <c:size val="12"/>
            <c:spPr>
              <a:solidFill>
                <a:schemeClr val="bg1"/>
              </a:solidFill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Indicadores!$BB$2:$BF$2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Indicadores!$BB$181:$BF$181</c:f>
              <c:numCache>
                <c:formatCode>General</c:formatCode>
                <c:ptCount val="5"/>
                <c:pt idx="0">
                  <c:v>58</c:v>
                </c:pt>
                <c:pt idx="1">
                  <c:v>194</c:v>
                </c:pt>
                <c:pt idx="2">
                  <c:v>849</c:v>
                </c:pt>
                <c:pt idx="3">
                  <c:v>1272</c:v>
                </c:pt>
                <c:pt idx="4">
                  <c:v>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E0-400B-8571-1B8FB21576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795970432"/>
        <c:axId val="1795994144"/>
      </c:lineChart>
      <c:catAx>
        <c:axId val="179597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95994144"/>
        <c:crosses val="autoZero"/>
        <c:auto val="1"/>
        <c:lblAlgn val="ctr"/>
        <c:lblOffset val="100"/>
        <c:noMultiLvlLbl val="0"/>
      </c:catAx>
      <c:valAx>
        <c:axId val="1795994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9597043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Promedio</a:t>
            </a:r>
            <a:r>
              <a:rPr lang="es-ES" baseline="0"/>
              <a:t> de publicaciones por alumno y Programa de Doctorado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Indicadores!$O$116</c:f>
              <c:strCache>
                <c:ptCount val="1"/>
                <c:pt idx="0">
                  <c:v>Programa de Doctorado en Ciencias de la Educación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Indicadores!$BG$116</c:f>
              <c:numCache>
                <c:formatCode>0.0</c:formatCode>
                <c:ptCount val="1"/>
                <c:pt idx="0">
                  <c:v>8.1707317073170724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A-477B-9B93-6251E9051104}"/>
            </c:ext>
          </c:extLst>
        </c:ser>
        <c:ser>
          <c:idx val="1"/>
          <c:order val="1"/>
          <c:tx>
            <c:strRef>
              <c:f>Indicadores!$O$125</c:f>
              <c:strCache>
                <c:ptCount val="1"/>
                <c:pt idx="0">
                  <c:v>Programa de Doctorado en Ciencias Económicas y Empresariales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Indicadores!$BG$125</c:f>
              <c:numCache>
                <c:formatCode>0.0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7A-477B-9B93-6251E9051104}"/>
            </c:ext>
          </c:extLst>
        </c:ser>
        <c:ser>
          <c:idx val="2"/>
          <c:order val="2"/>
          <c:tx>
            <c:strRef>
              <c:f>Indicadores!$O$131</c:f>
              <c:strCache>
                <c:ptCount val="1"/>
                <c:pt idx="0">
                  <c:v>Programa de Doctorado en Ciencias Jurídicas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Indicadores!$BG$131</c:f>
              <c:numCache>
                <c:formatCode>0.0</c:formatCode>
                <c:ptCount val="1"/>
                <c:pt idx="0">
                  <c:v>5.7777777777777777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7A-477B-9B93-6251E9051104}"/>
            </c:ext>
          </c:extLst>
        </c:ser>
        <c:ser>
          <c:idx val="3"/>
          <c:order val="3"/>
          <c:tx>
            <c:strRef>
              <c:f>Indicadores!$O$140</c:f>
              <c:strCache>
                <c:ptCount val="1"/>
                <c:pt idx="0">
                  <c:v>Programa de Doctorado en Ciencias Sociales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Indicadores!$BG$140</c:f>
              <c:numCache>
                <c:formatCode>0.0</c:formatCode>
                <c:ptCount val="1"/>
                <c:pt idx="0">
                  <c:v>3.1176470588235294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7A-477B-9B93-6251E9051104}"/>
            </c:ext>
          </c:extLst>
        </c:ser>
        <c:ser>
          <c:idx val="4"/>
          <c:order val="4"/>
          <c:tx>
            <c:strRef>
              <c:f>Indicadores!$O$148</c:f>
              <c:strCache>
                <c:ptCount val="1"/>
                <c:pt idx="0">
                  <c:v>Programa de Doctorado en Estudios de las Mujeres, Discursos y Prácticas de Género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Indicadores!$BG$148</c:f>
              <c:numCache>
                <c:formatCode>0.0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7A-477B-9B93-6251E9051104}"/>
            </c:ext>
          </c:extLst>
        </c:ser>
        <c:ser>
          <c:idx val="5"/>
          <c:order val="5"/>
          <c:tx>
            <c:strRef>
              <c:f>Indicadores!$O$150</c:f>
              <c:strCache>
                <c:ptCount val="1"/>
                <c:pt idx="0">
                  <c:v>Programa de Doctorado en Estudios Migratorios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Indicadores!$BG$150</c:f>
              <c:numCache>
                <c:formatCode>0.0</c:formatCode>
                <c:ptCount val="1"/>
                <c:pt idx="0">
                  <c:v>3.1428571428571428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7A-477B-9B93-6251E9051104}"/>
            </c:ext>
          </c:extLst>
        </c:ser>
        <c:ser>
          <c:idx val="6"/>
          <c:order val="6"/>
          <c:tx>
            <c:strRef>
              <c:f>Indicadores!$O$153</c:f>
              <c:strCache>
                <c:ptCount val="1"/>
                <c:pt idx="0">
                  <c:v>Programa de Doctorado en Filosofía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Indicadores!$BG$153</c:f>
              <c:numCache>
                <c:formatCode>0.0</c:formatCode>
                <c:ptCount val="1"/>
                <c:pt idx="0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7A-477B-9B93-6251E9051104}"/>
            </c:ext>
          </c:extLst>
        </c:ser>
        <c:ser>
          <c:idx val="7"/>
          <c:order val="7"/>
          <c:tx>
            <c:strRef>
              <c:f>Indicadores!$O$158</c:f>
              <c:strCache>
                <c:ptCount val="1"/>
                <c:pt idx="0">
                  <c:v>Programa de Doctorado en Historia y Artes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Indicadores!$BG$158</c:f>
              <c:numCache>
                <c:formatCode>0.0</c:formatCode>
                <c:ptCount val="1"/>
                <c:pt idx="0">
                  <c:v>3.1607142857142856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7A-477B-9B93-6251E9051104}"/>
            </c:ext>
          </c:extLst>
        </c:ser>
        <c:ser>
          <c:idx val="8"/>
          <c:order val="8"/>
          <c:tx>
            <c:strRef>
              <c:f>Indicadores!$O$171</c:f>
              <c:strCache>
                <c:ptCount val="1"/>
                <c:pt idx="0">
                  <c:v>Programa de Doctorado en Lenguas, Textos y Contextos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Indicadores!$BG$171</c:f>
              <c:numCache>
                <c:formatCode>0.0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7A-477B-9B93-6251E90511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68619215"/>
        <c:axId val="1268609647"/>
      </c:barChart>
      <c:catAx>
        <c:axId val="126861921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68609647"/>
        <c:crosses val="autoZero"/>
        <c:auto val="1"/>
        <c:lblAlgn val="ctr"/>
        <c:lblOffset val="100"/>
        <c:noMultiLvlLbl val="0"/>
      </c:catAx>
      <c:valAx>
        <c:axId val="1268609647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26861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Promedio de publicaciones por Programa</a:t>
            </a:r>
            <a:r>
              <a:rPr lang="es-ES" baseline="0"/>
              <a:t> de Doctorado 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Indicadores!$O$116</c:f>
              <c:strCache>
                <c:ptCount val="1"/>
                <c:pt idx="0">
                  <c:v>Programa de Doctorado en Ciencias de la Educación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Indicadores!$BM$116</c:f>
              <c:numCache>
                <c:formatCode>0.0</c:formatCode>
                <c:ptCount val="1"/>
                <c:pt idx="0">
                  <c:v>41.875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9-4E79-A206-D05014FFD3EF}"/>
            </c:ext>
          </c:extLst>
        </c:ser>
        <c:ser>
          <c:idx val="1"/>
          <c:order val="1"/>
          <c:tx>
            <c:strRef>
              <c:f>Indicadores!$O$125</c:f>
              <c:strCache>
                <c:ptCount val="1"/>
                <c:pt idx="0">
                  <c:v>Programa de Doctorado en Ciencias Económicas y Empresariales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Indicadores!$BM$125</c:f>
              <c:numCache>
                <c:formatCode>0.0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E9-4E79-A206-D05014FFD3EF}"/>
            </c:ext>
          </c:extLst>
        </c:ser>
        <c:ser>
          <c:idx val="2"/>
          <c:order val="2"/>
          <c:tx>
            <c:strRef>
              <c:f>Indicadores!$O$131</c:f>
              <c:strCache>
                <c:ptCount val="1"/>
                <c:pt idx="0">
                  <c:v>Programa de Doctorado en Ciencias Jurídicas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Indicadores!$BM$131</c:f>
              <c:numCache>
                <c:formatCode>0.0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E9-4E79-A206-D05014FFD3EF}"/>
            </c:ext>
          </c:extLst>
        </c:ser>
        <c:ser>
          <c:idx val="3"/>
          <c:order val="3"/>
          <c:tx>
            <c:strRef>
              <c:f>Indicadores!$O$140</c:f>
              <c:strCache>
                <c:ptCount val="1"/>
                <c:pt idx="0">
                  <c:v>Programa de Doctorado en Ciencias Sociales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Indicadores!$BM$140</c:f>
              <c:numCache>
                <c:formatCode>0.0</c:formatCode>
                <c:ptCount val="1"/>
                <c:pt idx="0">
                  <c:v>7.5714285714285712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E9-4E79-A206-D05014FFD3EF}"/>
            </c:ext>
          </c:extLst>
        </c:ser>
        <c:ser>
          <c:idx val="4"/>
          <c:order val="4"/>
          <c:tx>
            <c:strRef>
              <c:f>Indicadores!$O$148</c:f>
              <c:strCache>
                <c:ptCount val="1"/>
                <c:pt idx="0">
                  <c:v>Programa de Doctorado en Estudios de las Mujeres, Discursos y Prácticas de Género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Indicadores!$BM$148</c:f>
              <c:numCache>
                <c:formatCode>0.0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E9-4E79-A206-D05014FFD3EF}"/>
            </c:ext>
          </c:extLst>
        </c:ser>
        <c:ser>
          <c:idx val="5"/>
          <c:order val="5"/>
          <c:tx>
            <c:strRef>
              <c:f>Indicadores!$O$150</c:f>
              <c:strCache>
                <c:ptCount val="1"/>
                <c:pt idx="0">
                  <c:v>Programa de Doctorado en Estudios Migratorios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Indicadores!$BM$150</c:f>
              <c:numCache>
                <c:formatCode>0.0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E9-4E79-A206-D05014FFD3EF}"/>
            </c:ext>
          </c:extLst>
        </c:ser>
        <c:ser>
          <c:idx val="6"/>
          <c:order val="6"/>
          <c:tx>
            <c:strRef>
              <c:f>Indicadores!$O$153</c:f>
              <c:strCache>
                <c:ptCount val="1"/>
                <c:pt idx="0">
                  <c:v>Programa de Doctorado en Filosofía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Indicadores!$BM$153</c:f>
              <c:numCache>
                <c:formatCode>0.0</c:formatCode>
                <c:ptCount val="1"/>
                <c:pt idx="0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E9-4E79-A206-D05014FFD3EF}"/>
            </c:ext>
          </c:extLst>
        </c:ser>
        <c:ser>
          <c:idx val="7"/>
          <c:order val="7"/>
          <c:tx>
            <c:strRef>
              <c:f>Indicadores!$O$158</c:f>
              <c:strCache>
                <c:ptCount val="1"/>
                <c:pt idx="0">
                  <c:v>Programa de Doctorado en Historia y Artes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Indicadores!$BM$158</c:f>
              <c:numCache>
                <c:formatCode>0.0</c:formatCode>
                <c:ptCount val="1"/>
                <c:pt idx="0">
                  <c:v>14.75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E9-4E79-A206-D05014FFD3EF}"/>
            </c:ext>
          </c:extLst>
        </c:ser>
        <c:ser>
          <c:idx val="8"/>
          <c:order val="8"/>
          <c:tx>
            <c:strRef>
              <c:f>Indicadores!$O$171</c:f>
              <c:strCache>
                <c:ptCount val="1"/>
                <c:pt idx="0">
                  <c:v>Programa de Doctorado en Lenguas, Textos y Contextos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Indicadores!$BM$171</c:f>
              <c:numCache>
                <c:formatCode>0.0</c:formatCode>
                <c:ptCount val="1"/>
                <c:pt idx="0">
                  <c:v>2.2222222222222223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9-4E79-A206-D05014FFD3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8744095"/>
        <c:axId val="698738687"/>
      </c:barChart>
      <c:catAx>
        <c:axId val="69874409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98738687"/>
        <c:crosses val="autoZero"/>
        <c:auto val="1"/>
        <c:lblAlgn val="ctr"/>
        <c:lblOffset val="100"/>
        <c:noMultiLvlLbl val="0"/>
      </c:catAx>
      <c:valAx>
        <c:axId val="698738687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698744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300" b="0" i="0" u="none" strike="noStrike" baseline="0">
                <a:effectLst/>
              </a:rPr>
              <a:t>Programa de Doctorado en Ciencias de la Educación</a:t>
            </a:r>
            <a:endParaRPr lang="es-ES" sz="13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Indicadores!$O$117:$T$124</c:f>
              <c:strCache>
                <c:ptCount val="8"/>
                <c:pt idx="0">
                  <c:v>Currículum, Organización y Formación para la Equidad en la Sociedad del Conocimiento</c:v>
                </c:pt>
                <c:pt idx="1">
                  <c:v>Diagnóstico, Evaluación e Intervención Psicoeducativa</c:v>
                </c:pt>
                <c:pt idx="2">
                  <c:v>Didáctica de las Lenguas y sus Literaturas</c:v>
                </c:pt>
                <c:pt idx="3">
                  <c:v>Educación Matemática</c:v>
                </c:pt>
                <c:pt idx="4">
                  <c:v>Investigación en Educación Física y Deportiva</c:v>
                </c:pt>
                <c:pt idx="5">
                  <c:v>Investigación en Educación Musical y en Artes Plásticas</c:v>
                </c:pt>
                <c:pt idx="6">
                  <c:v>Investigación en Educación: Aspectos Teóricos, Históricos y de Educación Social</c:v>
                </c:pt>
                <c:pt idx="7">
                  <c:v>Psicología, Educación y Desarrollo</c:v>
                </c:pt>
              </c:strCache>
            </c:strRef>
          </c:cat>
          <c:val>
            <c:numRef>
              <c:f>Indicadores!$U$117:$U$124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15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B-49B6-83BF-B354CF07255F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Indicadores!$O$117:$T$124</c:f>
              <c:strCache>
                <c:ptCount val="8"/>
                <c:pt idx="0">
                  <c:v>Currículum, Organización y Formación para la Equidad en la Sociedad del Conocimiento</c:v>
                </c:pt>
                <c:pt idx="1">
                  <c:v>Diagnóstico, Evaluación e Intervención Psicoeducativa</c:v>
                </c:pt>
                <c:pt idx="2">
                  <c:v>Didáctica de las Lenguas y sus Literaturas</c:v>
                </c:pt>
                <c:pt idx="3">
                  <c:v>Educación Matemática</c:v>
                </c:pt>
                <c:pt idx="4">
                  <c:v>Investigación en Educación Física y Deportiva</c:v>
                </c:pt>
                <c:pt idx="5">
                  <c:v>Investigación en Educación Musical y en Artes Plásticas</c:v>
                </c:pt>
                <c:pt idx="6">
                  <c:v>Investigación en Educación: Aspectos Teóricos, Históricos y de Educación Social</c:v>
                </c:pt>
                <c:pt idx="7">
                  <c:v>Psicología, Educación y Desarrollo</c:v>
                </c:pt>
              </c:strCache>
            </c:strRef>
          </c:cat>
          <c:val>
            <c:numRef>
              <c:f>Indicadores!$AT$117:$AT$124</c:f>
              <c:numCache>
                <c:formatCode>General</c:formatCode>
                <c:ptCount val="8"/>
                <c:pt idx="0">
                  <c:v>15</c:v>
                </c:pt>
                <c:pt idx="1">
                  <c:v>9</c:v>
                </c:pt>
                <c:pt idx="2">
                  <c:v>4</c:v>
                </c:pt>
                <c:pt idx="3">
                  <c:v>6</c:v>
                </c:pt>
                <c:pt idx="4">
                  <c:v>259</c:v>
                </c:pt>
                <c:pt idx="5">
                  <c:v>3</c:v>
                </c:pt>
                <c:pt idx="6">
                  <c:v>2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B-49B6-83BF-B354CF0725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78075743"/>
        <c:axId val="1778076991"/>
      </c:barChart>
      <c:catAx>
        <c:axId val="1778075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78076991"/>
        <c:crosses val="autoZero"/>
        <c:auto val="1"/>
        <c:lblAlgn val="ctr"/>
        <c:lblOffset val="100"/>
        <c:noMultiLvlLbl val="0"/>
      </c:catAx>
      <c:valAx>
        <c:axId val="177807699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8075743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300" b="0" i="0" u="none" strike="noStrike" baseline="0">
                <a:effectLst/>
              </a:rPr>
              <a:t>Programa de Doctorado en Ciencias Económicas y Empresariales</a:t>
            </a:r>
            <a:endParaRPr lang="es-ES" sz="13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Indicadores!$O$126:$T$130</c:f>
              <c:strCache>
                <c:ptCount val="5"/>
                <c:pt idx="0">
                  <c:v>Análisis económico</c:v>
                </c:pt>
                <c:pt idx="1">
                  <c:v>Dirección estratégica, creación de empresas, flexibilidad y calidad</c:v>
                </c:pt>
                <c:pt idx="2">
                  <c:v>Economía pública: recaudación, salud, dependencia, educación y gestión del agua</c:v>
                </c:pt>
                <c:pt idx="3">
                  <c:v>Sistemas de información económico-financiera para la dirección, gestión y control de entidades públicas y privadas</c:v>
                </c:pt>
                <c:pt idx="4">
                  <c:v>Técnicas Cuantitativas Avanzadas en el Ámbito Económico y Empresarial</c:v>
                </c:pt>
              </c:strCache>
            </c:strRef>
          </c:cat>
          <c:val>
            <c:numRef>
              <c:f>Indicadores!$U$126:$U$130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21-4D54-A260-E1DDF980EE1E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Indicadores!$O$126:$T$130</c:f>
              <c:strCache>
                <c:ptCount val="5"/>
                <c:pt idx="0">
                  <c:v>Análisis económico</c:v>
                </c:pt>
                <c:pt idx="1">
                  <c:v>Dirección estratégica, creación de empresas, flexibilidad y calidad</c:v>
                </c:pt>
                <c:pt idx="2">
                  <c:v>Economía pública: recaudación, salud, dependencia, educación y gestión del agua</c:v>
                </c:pt>
                <c:pt idx="3">
                  <c:v>Sistemas de información económico-financiera para la dirección, gestión y control de entidades públicas y privadas</c:v>
                </c:pt>
                <c:pt idx="4">
                  <c:v>Técnicas Cuantitativas Avanzadas en el Ámbito Económico y Empresarial</c:v>
                </c:pt>
              </c:strCache>
            </c:strRef>
          </c:cat>
          <c:val>
            <c:numRef>
              <c:f>Indicadores!$AT$126:$AT$130</c:f>
              <c:numCache>
                <c:formatCode>General</c:formatCode>
                <c:ptCount val="5"/>
                <c:pt idx="0">
                  <c:v>7</c:v>
                </c:pt>
                <c:pt idx="1">
                  <c:v>2</c:v>
                </c:pt>
                <c:pt idx="2">
                  <c:v>17</c:v>
                </c:pt>
                <c:pt idx="3">
                  <c:v>12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21-4D54-A260-E1DDF980EE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43205359"/>
        <c:axId val="1743215759"/>
      </c:barChart>
      <c:catAx>
        <c:axId val="1743205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43215759"/>
        <c:crosses val="autoZero"/>
        <c:auto val="1"/>
        <c:lblAlgn val="ctr"/>
        <c:lblOffset val="100"/>
        <c:noMultiLvlLbl val="0"/>
      </c:catAx>
      <c:valAx>
        <c:axId val="174321575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43205359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 i="0" u="none" strike="noStrike" baseline="0">
                <a:effectLst/>
              </a:rPr>
              <a:t>Programa de Doctorado en Ciencias Jurídicas</a:t>
            </a:r>
            <a:endParaRPr lang="es-ES" sz="14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Indicadores!$O$132:$T$139</c:f>
              <c:strCache>
                <c:ptCount val="8"/>
                <c:pt idx="0">
                  <c:v>Criminalidad y Derecho</c:v>
                </c:pt>
                <c:pt idx="1">
                  <c:v>Derecho de la protección social pública y políticas sociales del Estado del Bienestar</c:v>
                </c:pt>
                <c:pt idx="2">
                  <c:v>Derecho del Consumo</c:v>
                </c:pt>
                <c:pt idx="3">
                  <c:v>Derecho Económico, de los negocios y de la empresa</c:v>
                </c:pt>
                <c:pt idx="4">
                  <c:v>Derecho Financiero. Ingresos y gastos públicos</c:v>
                </c:pt>
                <c:pt idx="5">
                  <c:v>Derecho Internacional, de la Unión Europea y Comparado</c:v>
                </c:pt>
                <c:pt idx="6">
                  <c:v>Metodología, historia del conocimiento y la argumentación jurídica. Evaluación legislativa y aplicación del Derecho</c:v>
                </c:pt>
                <c:pt idx="7">
                  <c:v>Modelos de Estado, Derechos Fundamentales. Tutela judicial de derechos</c:v>
                </c:pt>
              </c:strCache>
            </c:strRef>
          </c:cat>
          <c:val>
            <c:numRef>
              <c:f>Indicadores!$U$132:$U$139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C-4E9F-B1B1-2BC1760C5553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Indicadores!$O$132:$T$139</c:f>
              <c:strCache>
                <c:ptCount val="8"/>
                <c:pt idx="0">
                  <c:v>Criminalidad y Derecho</c:v>
                </c:pt>
                <c:pt idx="1">
                  <c:v>Derecho de la protección social pública y políticas sociales del Estado del Bienestar</c:v>
                </c:pt>
                <c:pt idx="2">
                  <c:v>Derecho del Consumo</c:v>
                </c:pt>
                <c:pt idx="3">
                  <c:v>Derecho Económico, de los negocios y de la empresa</c:v>
                </c:pt>
                <c:pt idx="4">
                  <c:v>Derecho Financiero. Ingresos y gastos públicos</c:v>
                </c:pt>
                <c:pt idx="5">
                  <c:v>Derecho Internacional, de la Unión Europea y Comparado</c:v>
                </c:pt>
                <c:pt idx="6">
                  <c:v>Metodología, historia del conocimiento y la argumentación jurídica. Evaluación legislativa y aplicación del Derecho</c:v>
                </c:pt>
                <c:pt idx="7">
                  <c:v>Modelos de Estado, Derechos Fundamentales. Tutela judicial de derechos</c:v>
                </c:pt>
              </c:strCache>
            </c:strRef>
          </c:cat>
          <c:val>
            <c:numRef>
              <c:f>Indicadores!$AT$132:$AT$139</c:f>
              <c:numCache>
                <c:formatCode>General</c:formatCode>
                <c:ptCount val="8"/>
                <c:pt idx="0">
                  <c:v>8</c:v>
                </c:pt>
                <c:pt idx="1">
                  <c:v>9</c:v>
                </c:pt>
                <c:pt idx="2">
                  <c:v>2</c:v>
                </c:pt>
                <c:pt idx="3">
                  <c:v>33</c:v>
                </c:pt>
                <c:pt idx="4">
                  <c:v>2</c:v>
                </c:pt>
                <c:pt idx="5">
                  <c:v>1</c:v>
                </c:pt>
                <c:pt idx="6">
                  <c:v>46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9C-4E9F-B1B1-2BC1760C55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14256703"/>
        <c:axId val="1614255871"/>
      </c:barChart>
      <c:catAx>
        <c:axId val="1614256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14255871"/>
        <c:crosses val="autoZero"/>
        <c:auto val="1"/>
        <c:lblAlgn val="ctr"/>
        <c:lblOffset val="100"/>
        <c:noMultiLvlLbl val="0"/>
      </c:catAx>
      <c:valAx>
        <c:axId val="161425587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14256703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 i="0" u="none" strike="noStrike" baseline="0">
                <a:effectLst/>
              </a:rPr>
              <a:t>Programa de Doctorado en Ciencias Sociales</a:t>
            </a:r>
            <a:endParaRPr lang="es-ES" sz="1400" b="0" i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Indicadores!$O$141:$T$147</c:f>
              <c:strCache>
                <c:ptCount val="7"/>
                <c:pt idx="0">
                  <c:v>Antropología de la salud, el cuidado, las adicciones y el cuerpo</c:v>
                </c:pt>
                <c:pt idx="1">
                  <c:v>Ciencia política y de la administración</c:v>
                </c:pt>
                <c:pt idx="2">
                  <c:v>Comunicación audiovisual y periodismo</c:v>
                </c:pt>
                <c:pt idx="3">
                  <c:v>Cultura de paz</c:v>
                </c:pt>
                <c:pt idx="4">
                  <c:v>Dinámicas y cambios en el espacio y en la sociedad de la Globalización</c:v>
                </c:pt>
                <c:pt idx="5">
                  <c:v>Información y comunicación científica</c:v>
                </c:pt>
                <c:pt idx="6">
                  <c:v>Problemas sociales y cursos vitales en la sociedad global</c:v>
                </c:pt>
              </c:strCache>
            </c:strRef>
          </c:cat>
          <c:val>
            <c:numRef>
              <c:f>Indicadores!$U$141:$U$147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0-46B6-86D2-2C9340850C90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Indicadores!$O$141:$T$147</c:f>
              <c:strCache>
                <c:ptCount val="7"/>
                <c:pt idx="0">
                  <c:v>Antropología de la salud, el cuidado, las adicciones y el cuerpo</c:v>
                </c:pt>
                <c:pt idx="1">
                  <c:v>Ciencia política y de la administración</c:v>
                </c:pt>
                <c:pt idx="2">
                  <c:v>Comunicación audiovisual y periodismo</c:v>
                </c:pt>
                <c:pt idx="3">
                  <c:v>Cultura de paz</c:v>
                </c:pt>
                <c:pt idx="4">
                  <c:v>Dinámicas y cambios en el espacio y en la sociedad de la Globalización</c:v>
                </c:pt>
                <c:pt idx="5">
                  <c:v>Información y comunicación científica</c:v>
                </c:pt>
                <c:pt idx="6">
                  <c:v>Problemas sociales y cursos vitales en la sociedad global</c:v>
                </c:pt>
              </c:strCache>
            </c:strRef>
          </c:cat>
          <c:val>
            <c:numRef>
              <c:f>Indicadores!$AT$141:$AT$147</c:f>
              <c:numCache>
                <c:formatCode>General</c:formatCode>
                <c:ptCount val="7"/>
                <c:pt idx="0">
                  <c:v>16</c:v>
                </c:pt>
                <c:pt idx="1">
                  <c:v>5</c:v>
                </c:pt>
                <c:pt idx="2">
                  <c:v>8</c:v>
                </c:pt>
                <c:pt idx="3">
                  <c:v>4</c:v>
                </c:pt>
                <c:pt idx="4">
                  <c:v>3</c:v>
                </c:pt>
                <c:pt idx="5">
                  <c:v>16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C0-46B6-86D2-2C9340850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50495295"/>
        <c:axId val="1750491551"/>
      </c:barChart>
      <c:catAx>
        <c:axId val="175049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50491551"/>
        <c:crosses val="autoZero"/>
        <c:auto val="1"/>
        <c:lblAlgn val="ctr"/>
        <c:lblOffset val="100"/>
        <c:noMultiLvlLbl val="0"/>
      </c:catAx>
      <c:valAx>
        <c:axId val="17504915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0495295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0" i="0" u="none" strike="noStrike" baseline="0">
                <a:effectLst/>
              </a:rPr>
              <a:t>Programa de Doctorado en Estudios de las Mujeres</a:t>
            </a:r>
            <a:r>
              <a:rPr lang="es-ES" sz="1200" b="0" i="1" u="none" strike="noStrike" baseline="0">
                <a:effectLst/>
              </a:rPr>
              <a:t>.</a:t>
            </a:r>
            <a:r>
              <a:rPr lang="es-ES" sz="1200" b="0" i="0" u="none" strike="noStrike" baseline="0">
                <a:effectLst/>
              </a:rPr>
              <a:t> Discursos y Prácticas de Género </a:t>
            </a:r>
            <a:endParaRPr lang="es-ES" sz="1200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Indicadores!$O$149</c:f>
              <c:strCache>
                <c:ptCount val="1"/>
                <c:pt idx="0">
                  <c:v>Estudios de las Mujeres y de Género: Historia, Discursos, Ciencia y Poder</c:v>
                </c:pt>
              </c:strCache>
            </c:strRef>
          </c:cat>
          <c:val>
            <c:numRef>
              <c:f>Indicadores!$U$149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B-4C3D-9425-EAD872313B97}"/>
            </c:ext>
          </c:extLst>
        </c:ser>
        <c:ser>
          <c:idx val="1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Indicadores!$O$149</c:f>
              <c:strCache>
                <c:ptCount val="1"/>
                <c:pt idx="0">
                  <c:v>Estudios de las Mujeres y de Género: Historia, Discursos, Ciencia y Poder</c:v>
                </c:pt>
              </c:strCache>
            </c:strRef>
          </c:cat>
          <c:val>
            <c:numRef>
              <c:f>Indicadores!$AT$149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7B-4C3D-9425-EAD872313B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74492431"/>
        <c:axId val="1774492847"/>
      </c:barChart>
      <c:catAx>
        <c:axId val="1774492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74492847"/>
        <c:crosses val="autoZero"/>
        <c:auto val="1"/>
        <c:lblAlgn val="ctr"/>
        <c:lblOffset val="100"/>
        <c:noMultiLvlLbl val="0"/>
      </c:catAx>
      <c:valAx>
        <c:axId val="17744928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4492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 i="0" u="none" strike="noStrike" baseline="0">
                <a:effectLst/>
              </a:rPr>
              <a:t>Programa de Doctorado en Estudios Migratorios</a:t>
            </a:r>
            <a:endParaRPr lang="es-ES" sz="14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Indicadores!$O$151:$T$152</c:f>
              <c:strCache>
                <c:ptCount val="2"/>
                <c:pt idx="0">
                  <c:v>Análisis social, cultural y de género de las migraciones</c:v>
                </c:pt>
                <c:pt idx="1">
                  <c:v>Globalización y movilidad humana: trabajo y migraciones</c:v>
                </c:pt>
              </c:strCache>
            </c:strRef>
          </c:cat>
          <c:val>
            <c:numRef>
              <c:f>Indicadores!$U$151:$U$152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B-417A-9B07-F97ACB9F9FB9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Indicadores!$O$151:$T$152</c:f>
              <c:strCache>
                <c:ptCount val="2"/>
                <c:pt idx="0">
                  <c:v>Análisis social, cultural y de género de las migraciones</c:v>
                </c:pt>
                <c:pt idx="1">
                  <c:v>Globalización y movilidad humana: trabajo y migraciones</c:v>
                </c:pt>
              </c:strCache>
            </c:strRef>
          </c:cat>
          <c:val>
            <c:numRef>
              <c:f>Indicadores!$AT$151:$AT$152</c:f>
              <c:numCache>
                <c:formatCode>General</c:formatCode>
                <c:ptCount val="2"/>
                <c:pt idx="0">
                  <c:v>12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3B-417A-9B07-F97ACB9F9F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78372943"/>
        <c:axId val="1778373359"/>
      </c:barChart>
      <c:catAx>
        <c:axId val="1778372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78373359"/>
        <c:crosses val="autoZero"/>
        <c:auto val="1"/>
        <c:lblAlgn val="ctr"/>
        <c:lblOffset val="100"/>
        <c:noMultiLvlLbl val="0"/>
      </c:catAx>
      <c:valAx>
        <c:axId val="177837335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8372943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 i="0" u="none" strike="noStrike" baseline="0">
                <a:effectLst/>
              </a:rPr>
              <a:t>Programa de Doctorado en Filosofía</a:t>
            </a:r>
            <a:endParaRPr lang="es-ES" sz="14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Indicadores!$O$154:$T$157</c:f>
              <c:strCache>
                <c:ptCount val="4"/>
                <c:pt idx="0">
                  <c:v>Génesis de la modernidad: de Leibniz a Kant</c:v>
                </c:pt>
                <c:pt idx="1">
                  <c:v>Metafísica y Nihilismo: filosofía como terapia y el problema de las pasiones</c:v>
                </c:pt>
                <c:pt idx="2">
                  <c:v>Lenguaje, mente y conocimiento: perspectivas formales y pragmáticas</c:v>
                </c:pt>
                <c:pt idx="3">
                  <c:v>Hermenéutica: crítica y diferencia. Problemas interculturales</c:v>
                </c:pt>
              </c:strCache>
            </c:strRef>
          </c:cat>
          <c:val>
            <c:numRef>
              <c:f>Indicadores!$U$154:$U$157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A-470E-B147-25EC0FB25613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Indicadores!$O$154:$T$157</c:f>
              <c:strCache>
                <c:ptCount val="4"/>
                <c:pt idx="0">
                  <c:v>Génesis de la modernidad: de Leibniz a Kant</c:v>
                </c:pt>
                <c:pt idx="1">
                  <c:v>Metafísica y Nihilismo: filosofía como terapia y el problema de las pasiones</c:v>
                </c:pt>
                <c:pt idx="2">
                  <c:v>Lenguaje, mente y conocimiento: perspectivas formales y pragmáticas</c:v>
                </c:pt>
                <c:pt idx="3">
                  <c:v>Hermenéutica: crítica y diferencia. Problemas interculturales</c:v>
                </c:pt>
              </c:strCache>
            </c:strRef>
          </c:cat>
          <c:val>
            <c:numRef>
              <c:f>Indicadores!$AT$154:$AT$157</c:f>
              <c:numCache>
                <c:formatCode>General</c:formatCode>
                <c:ptCount val="4"/>
                <c:pt idx="0">
                  <c:v>1</c:v>
                </c:pt>
                <c:pt idx="1">
                  <c:v>14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A-470E-B147-25EC0FB256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12085039"/>
        <c:axId val="1712082543"/>
      </c:barChart>
      <c:catAx>
        <c:axId val="1712085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12082543"/>
        <c:crosses val="autoZero"/>
        <c:auto val="1"/>
        <c:lblAlgn val="ctr"/>
        <c:lblOffset val="100"/>
        <c:noMultiLvlLbl val="0"/>
      </c:catAx>
      <c:valAx>
        <c:axId val="171208254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2085039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 i="0" u="none" strike="noStrike" baseline="0">
                <a:effectLst/>
              </a:rPr>
              <a:t>Programa de Doctorado en Historia y Artes</a:t>
            </a:r>
            <a:endParaRPr lang="es-ES" sz="14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Indicadores!$O$159:$T$170</c:f>
              <c:strCache>
                <c:ptCount val="12"/>
                <c:pt idx="0">
                  <c:v>Al-Andalus y las sociedades feudales</c:v>
                </c:pt>
                <c:pt idx="1">
                  <c:v>Arqueología y cultura material</c:v>
                </c:pt>
                <c:pt idx="2">
                  <c:v>Cambios sociopolíticos en el mundo moderno y contemporáneo</c:v>
                </c:pt>
                <c:pt idx="3">
                  <c:v>Conocimiento y Tutela del Patrimonio Histórico</c:v>
                </c:pt>
                <c:pt idx="4">
                  <c:v>Creación Artística, Audiovisual y Reflexión Crítica</c:v>
                </c:pt>
                <c:pt idx="5">
                  <c:v>Cultura Artística</c:v>
                </c:pt>
                <c:pt idx="6">
                  <c:v>Cultura, Creación y Educación Musical</c:v>
                </c:pt>
                <c:pt idx="7">
                  <c:v>Género e Historia</c:v>
                </c:pt>
                <c:pt idx="8">
                  <c:v>Historia y tradición clásica</c:v>
                </c:pt>
                <c:pt idx="9">
                  <c:v>Restauración y Conservación de Bienes patrimoniales</c:v>
                </c:pt>
                <c:pt idx="10">
                  <c:v>Sociedades y Culturas Americanas</c:v>
                </c:pt>
                <c:pt idx="11">
                  <c:v>Territorio, Patrimonio y Medio Ambiente</c:v>
                </c:pt>
              </c:strCache>
            </c:strRef>
          </c:cat>
          <c:val>
            <c:numRef>
              <c:f>Indicadores!$U$159:$U$170</c:f>
              <c:numCache>
                <c:formatCode>General</c:formatCode>
                <c:ptCount val="12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14</c:v>
                </c:pt>
                <c:pt idx="5">
                  <c:v>4</c:v>
                </c:pt>
                <c:pt idx="6">
                  <c:v>8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6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6-47BE-BF63-D54EAEA588F2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Indicadores!$O$159:$T$170</c:f>
              <c:strCache>
                <c:ptCount val="12"/>
                <c:pt idx="0">
                  <c:v>Al-Andalus y las sociedades feudales</c:v>
                </c:pt>
                <c:pt idx="1">
                  <c:v>Arqueología y cultura material</c:v>
                </c:pt>
                <c:pt idx="2">
                  <c:v>Cambios sociopolíticos en el mundo moderno y contemporáneo</c:v>
                </c:pt>
                <c:pt idx="3">
                  <c:v>Conocimiento y Tutela del Patrimonio Histórico</c:v>
                </c:pt>
                <c:pt idx="4">
                  <c:v>Creación Artística, Audiovisual y Reflexión Crítica</c:v>
                </c:pt>
                <c:pt idx="5">
                  <c:v>Cultura Artística</c:v>
                </c:pt>
                <c:pt idx="6">
                  <c:v>Cultura, Creación y Educación Musical</c:v>
                </c:pt>
                <c:pt idx="7">
                  <c:v>Género e Historia</c:v>
                </c:pt>
                <c:pt idx="8">
                  <c:v>Historia y tradición clásica</c:v>
                </c:pt>
                <c:pt idx="9">
                  <c:v>Restauración y Conservación de Bienes patrimoniales</c:v>
                </c:pt>
                <c:pt idx="10">
                  <c:v>Sociedades y Culturas Americanas</c:v>
                </c:pt>
                <c:pt idx="11">
                  <c:v>Territorio, Patrimonio y Medio Ambiente</c:v>
                </c:pt>
              </c:strCache>
            </c:strRef>
          </c:cat>
          <c:val>
            <c:numRef>
              <c:f>Indicadores!$AT$159:$AT$170</c:f>
              <c:numCache>
                <c:formatCode>General</c:formatCode>
                <c:ptCount val="12"/>
                <c:pt idx="0">
                  <c:v>4</c:v>
                </c:pt>
                <c:pt idx="1">
                  <c:v>49</c:v>
                </c:pt>
                <c:pt idx="2">
                  <c:v>41</c:v>
                </c:pt>
                <c:pt idx="3">
                  <c:v>35</c:v>
                </c:pt>
                <c:pt idx="4">
                  <c:v>13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6-47BE-BF63-D54EAEA588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42200815"/>
        <c:axId val="1742208303"/>
      </c:barChart>
      <c:catAx>
        <c:axId val="1742200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42208303"/>
        <c:crosses val="autoZero"/>
        <c:auto val="1"/>
        <c:lblAlgn val="ctr"/>
        <c:lblOffset val="100"/>
        <c:noMultiLvlLbl val="0"/>
      </c:catAx>
      <c:valAx>
        <c:axId val="1742208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42200815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Relación Doctorados Cotutelados y publicaciones</a:t>
            </a:r>
            <a:endParaRPr lang="es-E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Publicaciones</c:v>
          </c:tx>
          <c:spPr>
            <a:gradFill>
              <a:gsLst>
                <a:gs pos="0">
                  <a:srgbClr val="F8F8F8"/>
                </a:gs>
                <a:gs pos="0">
                  <a:schemeClr val="bg2">
                    <a:lumMod val="75000"/>
                  </a:schemeClr>
                </a:gs>
                <a:gs pos="39000">
                  <a:schemeClr val="tx1">
                    <a:lumMod val="50000"/>
                    <a:lumOff val="50000"/>
                  </a:schemeClr>
                </a:gs>
                <a:gs pos="100000">
                  <a:schemeClr val="tx1">
                    <a:lumMod val="65000"/>
                    <a:lumOff val="35000"/>
                  </a:schemeClr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392636748391164E-2"/>
                  <c:y val="-8.335034856926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308-4F68-8737-215D591420B6}"/>
                </c:ext>
              </c:extLst>
            </c:dLbl>
            <c:dLbl>
              <c:idx val="1"/>
              <c:layout>
                <c:manualLayout>
                  <c:x val="5.5392636748391164E-2"/>
                  <c:y val="-2.3152874602572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308-4F68-8737-215D591420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Cotutelados</c:v>
              </c:pt>
              <c:pt idx="1">
                <c:v>Sin Cotutelar</c:v>
              </c:pt>
            </c:strLit>
          </c:cat>
          <c:val>
            <c:numRef>
              <c:f>Indicadores!$AH$182:$AI$182</c:f>
              <c:numCache>
                <c:formatCode>General</c:formatCode>
                <c:ptCount val="2"/>
                <c:pt idx="0">
                  <c:v>68</c:v>
                </c:pt>
                <c:pt idx="1">
                  <c:v>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0-4BC3-9745-3A6E306A8A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95992480"/>
        <c:axId val="1795979584"/>
      </c:barChart>
      <c:lineChart>
        <c:grouping val="standard"/>
        <c:varyColors val="0"/>
        <c:ser>
          <c:idx val="0"/>
          <c:order val="0"/>
          <c:tx>
            <c:v>Doctorados</c:v>
          </c:tx>
          <c:spPr>
            <a:ln w="28575" cap="rnd">
              <a:solidFill>
                <a:srgbClr val="8E0808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8E0808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Indicadores!$AH$181:$AI$181</c:f>
              <c:numCache>
                <c:formatCode>General</c:formatCode>
                <c:ptCount val="2"/>
                <c:pt idx="0">
                  <c:v>16</c:v>
                </c:pt>
                <c:pt idx="1">
                  <c:v>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70-4BC3-9745-3A6E306A8A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95992480"/>
        <c:axId val="1795979584"/>
      </c:lineChart>
      <c:catAx>
        <c:axId val="179599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95979584"/>
        <c:crosses val="autoZero"/>
        <c:auto val="1"/>
        <c:lblAlgn val="ctr"/>
        <c:lblOffset val="100"/>
        <c:noMultiLvlLbl val="0"/>
      </c:catAx>
      <c:valAx>
        <c:axId val="17959795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9599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 i="0" u="none" strike="noStrike" baseline="0">
                <a:effectLst/>
              </a:rPr>
              <a:t>Programa de Doctorado en Lenguas</a:t>
            </a:r>
            <a:r>
              <a:rPr lang="es-ES" sz="1400" b="0" i="1" u="none" strike="noStrike" baseline="0">
                <a:effectLst/>
              </a:rPr>
              <a:t>,</a:t>
            </a:r>
            <a:r>
              <a:rPr lang="es-ES" sz="1400" b="0" i="0" u="none" strike="noStrike" baseline="0">
                <a:effectLst/>
              </a:rPr>
              <a:t> Textos y Contextos</a:t>
            </a:r>
            <a:endParaRPr lang="es-ES" sz="14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Indicadores!$U$1</c:f>
              <c:strCache>
                <c:ptCount val="1"/>
                <c:pt idx="0">
                  <c:v>Alumnos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Indicadores!$O$172:$T$180</c:f>
              <c:strCache>
                <c:ptCount val="9"/>
                <c:pt idx="0">
                  <c:v>Estudios árabes e islámicos</c:v>
                </c:pt>
                <c:pt idx="1">
                  <c:v>Estudios eslavos</c:v>
                </c:pt>
                <c:pt idx="2">
                  <c:v>Estudios románicos: lengua y literatura italiana, portuguesa y catalana</c:v>
                </c:pt>
                <c:pt idx="3">
                  <c:v>Judaísmo clásico y medieval y mundo sefardí</c:v>
                </c:pt>
                <c:pt idx="4">
                  <c:v>Lengua española</c:v>
                </c:pt>
                <c:pt idx="5">
                  <c:v>Lengua y Literatura inglesas</c:v>
                </c:pt>
                <c:pt idx="6">
                  <c:v>Linguistica teórica y aplicada y Teoría de la literatura y literatura comparada</c:v>
                </c:pt>
                <c:pt idx="7">
                  <c:v>Literatura Española e hispanoamericana</c:v>
                </c:pt>
                <c:pt idx="8">
                  <c:v>Traducción e Interpretación</c:v>
                </c:pt>
              </c:strCache>
            </c:strRef>
          </c:cat>
          <c:val>
            <c:numRef>
              <c:f>Indicadores!$U$172:$U$180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0-4A68-9750-6428835B8663}"/>
            </c:ext>
          </c:extLst>
        </c:ser>
        <c:ser>
          <c:idx val="0"/>
          <c:order val="1"/>
          <c:tx>
            <c:strRef>
              <c:f>Indicadores!$AT$1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Indicadores!$O$172:$T$180</c:f>
              <c:strCache>
                <c:ptCount val="9"/>
                <c:pt idx="0">
                  <c:v>Estudios árabes e islámicos</c:v>
                </c:pt>
                <c:pt idx="1">
                  <c:v>Estudios eslavos</c:v>
                </c:pt>
                <c:pt idx="2">
                  <c:v>Estudios románicos: lengua y literatura italiana, portuguesa y catalana</c:v>
                </c:pt>
                <c:pt idx="3">
                  <c:v>Judaísmo clásico y medieval y mundo sefardí</c:v>
                </c:pt>
                <c:pt idx="4">
                  <c:v>Lengua española</c:v>
                </c:pt>
                <c:pt idx="5">
                  <c:v>Lengua y Literatura inglesas</c:v>
                </c:pt>
                <c:pt idx="6">
                  <c:v>Linguistica teórica y aplicada y Teoría de la literatura y literatura comparada</c:v>
                </c:pt>
                <c:pt idx="7">
                  <c:v>Literatura Española e hispanoamericana</c:v>
                </c:pt>
                <c:pt idx="8">
                  <c:v>Traducción e Interpretación</c:v>
                </c:pt>
              </c:strCache>
            </c:strRef>
          </c:cat>
          <c:val>
            <c:numRef>
              <c:f>Indicadores!$AT$172:$AT$180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0-4A68-9750-6428835B86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23591887"/>
        <c:axId val="1523593135"/>
      </c:barChart>
      <c:catAx>
        <c:axId val="1523591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23593135"/>
        <c:crosses val="autoZero"/>
        <c:auto val="1"/>
        <c:lblAlgn val="ctr"/>
        <c:lblOffset val="100"/>
        <c:noMultiLvlLbl val="0"/>
      </c:catAx>
      <c:valAx>
        <c:axId val="152359313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23591887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Correlación número alumnos/publicaciones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Línea de investigación</c:v>
          </c:tx>
          <c:spPr>
            <a:ln w="19050">
              <a:noFill/>
            </a:ln>
          </c:spPr>
          <c:trendline>
            <c:spPr>
              <a:ln>
                <a:solidFill>
                  <a:schemeClr val="tx1">
                    <a:lumMod val="95000"/>
                    <a:lumOff val="5000"/>
                  </a:schemeClr>
                </a:solidFill>
                <a:prstDash val="lgDash"/>
              </a:ln>
            </c:spPr>
            <c:trendlineType val="linear"/>
            <c:dispRSqr val="1"/>
            <c:dispEq val="1"/>
            <c:trendlineLbl>
              <c:layout>
                <c:manualLayout>
                  <c:x val="6.502383107076283E-2"/>
                  <c:y val="0.13589129483814524"/>
                </c:manualLayout>
              </c:layout>
              <c:numFmt formatCode="General" sourceLinked="0"/>
            </c:trendlineLbl>
          </c:trendline>
          <c:xVal>
            <c:numRef>
              <c:f>'Estudio correlación'!$E$3:$E$152</c:f>
              <c:numCache>
                <c:formatCode>General</c:formatCode>
                <c:ptCount val="150"/>
                <c:pt idx="0">
                  <c:v>91</c:v>
                </c:pt>
                <c:pt idx="1">
                  <c:v>6</c:v>
                </c:pt>
                <c:pt idx="2">
                  <c:v>6</c:v>
                </c:pt>
                <c:pt idx="3">
                  <c:v>14</c:v>
                </c:pt>
                <c:pt idx="4">
                  <c:v>30</c:v>
                </c:pt>
                <c:pt idx="5">
                  <c:v>23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18</c:v>
                </c:pt>
                <c:pt idx="11">
                  <c:v>42</c:v>
                </c:pt>
                <c:pt idx="12">
                  <c:v>14</c:v>
                </c:pt>
                <c:pt idx="13">
                  <c:v>25</c:v>
                </c:pt>
                <c:pt idx="14">
                  <c:v>6</c:v>
                </c:pt>
                <c:pt idx="15">
                  <c:v>21</c:v>
                </c:pt>
                <c:pt idx="16">
                  <c:v>12</c:v>
                </c:pt>
                <c:pt idx="17">
                  <c:v>17</c:v>
                </c:pt>
                <c:pt idx="18">
                  <c:v>170</c:v>
                </c:pt>
                <c:pt idx="19">
                  <c:v>14</c:v>
                </c:pt>
                <c:pt idx="20">
                  <c:v>4</c:v>
                </c:pt>
                <c:pt idx="21">
                  <c:v>43</c:v>
                </c:pt>
                <c:pt idx="22">
                  <c:v>0</c:v>
                </c:pt>
                <c:pt idx="23">
                  <c:v>9</c:v>
                </c:pt>
                <c:pt idx="24">
                  <c:v>49</c:v>
                </c:pt>
                <c:pt idx="25">
                  <c:v>39</c:v>
                </c:pt>
                <c:pt idx="26">
                  <c:v>12</c:v>
                </c:pt>
                <c:pt idx="27">
                  <c:v>8</c:v>
                </c:pt>
                <c:pt idx="28">
                  <c:v>0</c:v>
                </c:pt>
                <c:pt idx="29">
                  <c:v>21</c:v>
                </c:pt>
                <c:pt idx="30">
                  <c:v>0</c:v>
                </c:pt>
                <c:pt idx="31">
                  <c:v>2</c:v>
                </c:pt>
                <c:pt idx="32">
                  <c:v>10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8</c:v>
                </c:pt>
                <c:pt idx="37">
                  <c:v>0</c:v>
                </c:pt>
                <c:pt idx="38">
                  <c:v>14</c:v>
                </c:pt>
                <c:pt idx="39">
                  <c:v>10</c:v>
                </c:pt>
                <c:pt idx="40">
                  <c:v>4</c:v>
                </c:pt>
                <c:pt idx="41">
                  <c:v>4</c:v>
                </c:pt>
                <c:pt idx="42">
                  <c:v>0</c:v>
                </c:pt>
                <c:pt idx="43">
                  <c:v>19</c:v>
                </c:pt>
                <c:pt idx="44">
                  <c:v>0</c:v>
                </c:pt>
                <c:pt idx="45">
                  <c:v>0</c:v>
                </c:pt>
                <c:pt idx="46">
                  <c:v>2</c:v>
                </c:pt>
                <c:pt idx="47">
                  <c:v>7</c:v>
                </c:pt>
                <c:pt idx="48">
                  <c:v>0</c:v>
                </c:pt>
                <c:pt idx="49">
                  <c:v>32</c:v>
                </c:pt>
                <c:pt idx="50">
                  <c:v>2</c:v>
                </c:pt>
                <c:pt idx="51">
                  <c:v>2</c:v>
                </c:pt>
                <c:pt idx="52">
                  <c:v>15</c:v>
                </c:pt>
                <c:pt idx="53">
                  <c:v>16</c:v>
                </c:pt>
                <c:pt idx="54">
                  <c:v>6</c:v>
                </c:pt>
                <c:pt idx="55">
                  <c:v>7</c:v>
                </c:pt>
                <c:pt idx="56">
                  <c:v>19</c:v>
                </c:pt>
                <c:pt idx="57">
                  <c:v>20</c:v>
                </c:pt>
                <c:pt idx="58">
                  <c:v>22</c:v>
                </c:pt>
                <c:pt idx="59">
                  <c:v>11</c:v>
                </c:pt>
                <c:pt idx="60">
                  <c:v>62</c:v>
                </c:pt>
                <c:pt idx="61">
                  <c:v>6</c:v>
                </c:pt>
                <c:pt idx="62">
                  <c:v>0</c:v>
                </c:pt>
                <c:pt idx="63">
                  <c:v>12</c:v>
                </c:pt>
                <c:pt idx="64">
                  <c:v>16</c:v>
                </c:pt>
                <c:pt idx="65">
                  <c:v>3</c:v>
                </c:pt>
                <c:pt idx="66">
                  <c:v>25</c:v>
                </c:pt>
                <c:pt idx="67">
                  <c:v>18</c:v>
                </c:pt>
                <c:pt idx="68">
                  <c:v>0</c:v>
                </c:pt>
                <c:pt idx="69">
                  <c:v>17</c:v>
                </c:pt>
                <c:pt idx="70">
                  <c:v>15</c:v>
                </c:pt>
                <c:pt idx="71">
                  <c:v>3</c:v>
                </c:pt>
                <c:pt idx="72">
                  <c:v>0</c:v>
                </c:pt>
                <c:pt idx="73">
                  <c:v>12</c:v>
                </c:pt>
                <c:pt idx="74">
                  <c:v>2</c:v>
                </c:pt>
                <c:pt idx="75">
                  <c:v>0</c:v>
                </c:pt>
                <c:pt idx="76">
                  <c:v>4</c:v>
                </c:pt>
                <c:pt idx="77">
                  <c:v>0</c:v>
                </c:pt>
                <c:pt idx="78">
                  <c:v>4</c:v>
                </c:pt>
                <c:pt idx="79">
                  <c:v>8</c:v>
                </c:pt>
                <c:pt idx="80">
                  <c:v>2</c:v>
                </c:pt>
                <c:pt idx="81">
                  <c:v>0</c:v>
                </c:pt>
                <c:pt idx="82">
                  <c:v>23</c:v>
                </c:pt>
                <c:pt idx="83">
                  <c:v>0</c:v>
                </c:pt>
                <c:pt idx="84">
                  <c:v>0</c:v>
                </c:pt>
                <c:pt idx="85">
                  <c:v>16</c:v>
                </c:pt>
                <c:pt idx="86">
                  <c:v>0</c:v>
                </c:pt>
                <c:pt idx="87">
                  <c:v>8</c:v>
                </c:pt>
                <c:pt idx="88">
                  <c:v>23</c:v>
                </c:pt>
                <c:pt idx="89">
                  <c:v>0</c:v>
                </c:pt>
                <c:pt idx="90">
                  <c:v>6</c:v>
                </c:pt>
                <c:pt idx="91">
                  <c:v>0</c:v>
                </c:pt>
                <c:pt idx="92">
                  <c:v>0</c:v>
                </c:pt>
                <c:pt idx="93">
                  <c:v>14</c:v>
                </c:pt>
                <c:pt idx="94">
                  <c:v>0</c:v>
                </c:pt>
                <c:pt idx="95">
                  <c:v>3</c:v>
                </c:pt>
                <c:pt idx="96">
                  <c:v>0</c:v>
                </c:pt>
                <c:pt idx="97">
                  <c:v>0</c:v>
                </c:pt>
                <c:pt idx="98">
                  <c:v>249</c:v>
                </c:pt>
                <c:pt idx="99">
                  <c:v>3</c:v>
                </c:pt>
                <c:pt idx="100">
                  <c:v>0</c:v>
                </c:pt>
                <c:pt idx="101">
                  <c:v>0</c:v>
                </c:pt>
                <c:pt idx="102">
                  <c:v>7</c:v>
                </c:pt>
                <c:pt idx="103">
                  <c:v>2</c:v>
                </c:pt>
                <c:pt idx="104">
                  <c:v>15</c:v>
                </c:pt>
                <c:pt idx="105">
                  <c:v>6</c:v>
                </c:pt>
                <c:pt idx="106">
                  <c:v>2</c:v>
                </c:pt>
                <c:pt idx="107">
                  <c:v>1</c:v>
                </c:pt>
                <c:pt idx="108">
                  <c:v>0</c:v>
                </c:pt>
                <c:pt idx="109">
                  <c:v>0</c:v>
                </c:pt>
                <c:pt idx="110">
                  <c:v>33</c:v>
                </c:pt>
                <c:pt idx="111">
                  <c:v>2</c:v>
                </c:pt>
                <c:pt idx="112">
                  <c:v>1</c:v>
                </c:pt>
                <c:pt idx="113">
                  <c:v>35</c:v>
                </c:pt>
                <c:pt idx="114">
                  <c:v>2</c:v>
                </c:pt>
                <c:pt idx="115">
                  <c:v>2</c:v>
                </c:pt>
                <c:pt idx="116">
                  <c:v>5</c:v>
                </c:pt>
                <c:pt idx="117">
                  <c:v>1</c:v>
                </c:pt>
                <c:pt idx="118">
                  <c:v>1</c:v>
                </c:pt>
                <c:pt idx="119">
                  <c:v>0</c:v>
                </c:pt>
                <c:pt idx="120">
                  <c:v>1</c:v>
                </c:pt>
                <c:pt idx="121">
                  <c:v>1</c:v>
                </c:pt>
                <c:pt idx="122">
                  <c:v>0</c:v>
                </c:pt>
                <c:pt idx="123">
                  <c:v>10</c:v>
                </c:pt>
                <c:pt idx="124">
                  <c:v>7</c:v>
                </c:pt>
                <c:pt idx="125">
                  <c:v>1</c:v>
                </c:pt>
                <c:pt idx="126">
                  <c:v>14</c:v>
                </c:pt>
                <c:pt idx="127">
                  <c:v>0</c:v>
                </c:pt>
                <c:pt idx="128">
                  <c:v>0</c:v>
                </c:pt>
                <c:pt idx="129">
                  <c:v>1</c:v>
                </c:pt>
                <c:pt idx="130">
                  <c:v>49</c:v>
                </c:pt>
                <c:pt idx="131">
                  <c:v>41</c:v>
                </c:pt>
                <c:pt idx="132">
                  <c:v>35</c:v>
                </c:pt>
                <c:pt idx="133">
                  <c:v>1</c:v>
                </c:pt>
                <c:pt idx="134">
                  <c:v>4</c:v>
                </c:pt>
                <c:pt idx="135">
                  <c:v>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1</c:v>
                </c:pt>
                <c:pt idx="140">
                  <c:v>16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0</c:v>
                </c:pt>
                <c:pt idx="145">
                  <c:v>0</c:v>
                </c:pt>
                <c:pt idx="146">
                  <c:v>3</c:v>
                </c:pt>
                <c:pt idx="147">
                  <c:v>0</c:v>
                </c:pt>
                <c:pt idx="148">
                  <c:v>0</c:v>
                </c:pt>
                <c:pt idx="149">
                  <c:v>5</c:v>
                </c:pt>
              </c:numCache>
            </c:numRef>
          </c:xVal>
          <c:yVal>
            <c:numRef>
              <c:f>'Estudio correlación'!$K$3:$K$152</c:f>
              <c:numCache>
                <c:formatCode>General</c:formatCode>
                <c:ptCount val="150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6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8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8</c:v>
                </c:pt>
                <c:pt idx="25">
                  <c:v>5</c:v>
                </c:pt>
                <c:pt idx="26">
                  <c:v>2</c:v>
                </c:pt>
                <c:pt idx="27">
                  <c:v>2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2</c:v>
                </c:pt>
                <c:pt idx="48">
                  <c:v>0</c:v>
                </c:pt>
                <c:pt idx="49">
                  <c:v>2</c:v>
                </c:pt>
                <c:pt idx="50">
                  <c:v>1</c:v>
                </c:pt>
                <c:pt idx="51">
                  <c:v>1</c:v>
                </c:pt>
                <c:pt idx="52">
                  <c:v>2</c:v>
                </c:pt>
                <c:pt idx="53">
                  <c:v>2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3</c:v>
                </c:pt>
                <c:pt idx="58">
                  <c:v>2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0</c:v>
                </c:pt>
                <c:pt idx="63">
                  <c:v>2</c:v>
                </c:pt>
                <c:pt idx="64">
                  <c:v>3</c:v>
                </c:pt>
                <c:pt idx="65">
                  <c:v>1</c:v>
                </c:pt>
                <c:pt idx="66">
                  <c:v>3</c:v>
                </c:pt>
                <c:pt idx="67">
                  <c:v>1</c:v>
                </c:pt>
                <c:pt idx="68">
                  <c:v>0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0</c:v>
                </c:pt>
                <c:pt idx="73">
                  <c:v>2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0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0</c:v>
                </c:pt>
                <c:pt idx="82">
                  <c:v>3</c:v>
                </c:pt>
                <c:pt idx="83">
                  <c:v>0</c:v>
                </c:pt>
                <c:pt idx="84">
                  <c:v>0</c:v>
                </c:pt>
                <c:pt idx="85">
                  <c:v>1</c:v>
                </c:pt>
                <c:pt idx="86">
                  <c:v>1</c:v>
                </c:pt>
                <c:pt idx="87">
                  <c:v>0</c:v>
                </c:pt>
                <c:pt idx="88">
                  <c:v>2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0</c:v>
                </c:pt>
                <c:pt idx="93">
                  <c:v>2</c:v>
                </c:pt>
                <c:pt idx="94">
                  <c:v>0</c:v>
                </c:pt>
                <c:pt idx="95">
                  <c:v>2</c:v>
                </c:pt>
                <c:pt idx="96">
                  <c:v>0</c:v>
                </c:pt>
                <c:pt idx="97">
                  <c:v>0</c:v>
                </c:pt>
                <c:pt idx="98">
                  <c:v>10</c:v>
                </c:pt>
                <c:pt idx="99">
                  <c:v>1</c:v>
                </c:pt>
                <c:pt idx="100">
                  <c:v>2</c:v>
                </c:pt>
                <c:pt idx="101">
                  <c:v>0</c:v>
                </c:pt>
                <c:pt idx="102">
                  <c:v>2</c:v>
                </c:pt>
                <c:pt idx="103">
                  <c:v>1</c:v>
                </c:pt>
                <c:pt idx="104">
                  <c:v>3</c:v>
                </c:pt>
                <c:pt idx="105">
                  <c:v>0</c:v>
                </c:pt>
                <c:pt idx="106">
                  <c:v>1</c:v>
                </c:pt>
                <c:pt idx="107">
                  <c:v>1</c:v>
                </c:pt>
                <c:pt idx="108">
                  <c:v>0</c:v>
                </c:pt>
                <c:pt idx="109">
                  <c:v>0</c:v>
                </c:pt>
                <c:pt idx="110">
                  <c:v>5</c:v>
                </c:pt>
                <c:pt idx="111">
                  <c:v>2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2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0</c:v>
                </c:pt>
                <c:pt idx="120">
                  <c:v>1</c:v>
                </c:pt>
                <c:pt idx="121">
                  <c:v>1</c:v>
                </c:pt>
                <c:pt idx="122">
                  <c:v>0</c:v>
                </c:pt>
                <c:pt idx="123">
                  <c:v>3</c:v>
                </c:pt>
                <c:pt idx="124">
                  <c:v>2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0</c:v>
                </c:pt>
                <c:pt idx="129">
                  <c:v>2</c:v>
                </c:pt>
                <c:pt idx="130">
                  <c:v>6</c:v>
                </c:pt>
                <c:pt idx="131">
                  <c:v>5</c:v>
                </c:pt>
                <c:pt idx="132">
                  <c:v>3</c:v>
                </c:pt>
                <c:pt idx="133">
                  <c:v>5</c:v>
                </c:pt>
                <c:pt idx="134">
                  <c:v>4</c:v>
                </c:pt>
                <c:pt idx="135">
                  <c:v>6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3</c:v>
                </c:pt>
                <c:pt idx="140">
                  <c:v>4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0</c:v>
                </c:pt>
                <c:pt idx="145">
                  <c:v>2</c:v>
                </c:pt>
                <c:pt idx="146">
                  <c:v>1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A6-493E-BFC5-2C0B88A1C9FB}"/>
            </c:ext>
          </c:extLst>
        </c:ser>
        <c:ser>
          <c:idx val="0"/>
          <c:order val="1"/>
          <c:tx>
            <c:v>Programa de Doctorado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>
                    <a:lumMod val="75000"/>
                    <a:lumOff val="25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'Estudio correlación'!$G$3:$G$27</c:f>
              <c:numCache>
                <c:formatCode>General</c:formatCode>
                <c:ptCount val="25"/>
                <c:pt idx="0">
                  <c:v>175</c:v>
                </c:pt>
                <c:pt idx="1">
                  <c:v>18</c:v>
                </c:pt>
                <c:pt idx="2">
                  <c:v>87</c:v>
                </c:pt>
                <c:pt idx="3">
                  <c:v>281</c:v>
                </c:pt>
                <c:pt idx="4">
                  <c:v>58</c:v>
                </c:pt>
                <c:pt idx="5">
                  <c:v>80</c:v>
                </c:pt>
                <c:pt idx="6">
                  <c:v>45</c:v>
                </c:pt>
                <c:pt idx="7">
                  <c:v>29</c:v>
                </c:pt>
                <c:pt idx="8">
                  <c:v>39</c:v>
                </c:pt>
                <c:pt idx="9">
                  <c:v>4</c:v>
                </c:pt>
                <c:pt idx="10">
                  <c:v>105</c:v>
                </c:pt>
                <c:pt idx="11">
                  <c:v>153</c:v>
                </c:pt>
                <c:pt idx="12">
                  <c:v>47</c:v>
                </c:pt>
                <c:pt idx="13">
                  <c:v>2</c:v>
                </c:pt>
                <c:pt idx="14">
                  <c:v>41</c:v>
                </c:pt>
                <c:pt idx="15">
                  <c:v>77</c:v>
                </c:pt>
                <c:pt idx="16">
                  <c:v>255</c:v>
                </c:pt>
                <c:pt idx="17">
                  <c:v>32</c:v>
                </c:pt>
                <c:pt idx="18">
                  <c:v>74</c:v>
                </c:pt>
                <c:pt idx="19">
                  <c:v>11</c:v>
                </c:pt>
                <c:pt idx="20">
                  <c:v>0</c:v>
                </c:pt>
                <c:pt idx="21">
                  <c:v>17</c:v>
                </c:pt>
                <c:pt idx="22">
                  <c:v>15</c:v>
                </c:pt>
                <c:pt idx="23">
                  <c:v>151</c:v>
                </c:pt>
                <c:pt idx="24">
                  <c:v>11</c:v>
                </c:pt>
              </c:numCache>
            </c:numRef>
          </c:xVal>
          <c:yVal>
            <c:numRef>
              <c:f>'Estudio correlación'!$M$3:$M$27</c:f>
              <c:numCache>
                <c:formatCode>General</c:formatCode>
                <c:ptCount val="25"/>
                <c:pt idx="0">
                  <c:v>15</c:v>
                </c:pt>
                <c:pt idx="1">
                  <c:v>3</c:v>
                </c:pt>
                <c:pt idx="2">
                  <c:v>13</c:v>
                </c:pt>
                <c:pt idx="3">
                  <c:v>17</c:v>
                </c:pt>
                <c:pt idx="4">
                  <c:v>9</c:v>
                </c:pt>
                <c:pt idx="5">
                  <c:v>10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12</c:v>
                </c:pt>
                <c:pt idx="11">
                  <c:v>13</c:v>
                </c:pt>
                <c:pt idx="12">
                  <c:v>8</c:v>
                </c:pt>
                <c:pt idx="13">
                  <c:v>2</c:v>
                </c:pt>
                <c:pt idx="14">
                  <c:v>7</c:v>
                </c:pt>
                <c:pt idx="15">
                  <c:v>10</c:v>
                </c:pt>
                <c:pt idx="16">
                  <c:v>15</c:v>
                </c:pt>
                <c:pt idx="17">
                  <c:v>8</c:v>
                </c:pt>
                <c:pt idx="18">
                  <c:v>11</c:v>
                </c:pt>
                <c:pt idx="19">
                  <c:v>7</c:v>
                </c:pt>
                <c:pt idx="20">
                  <c:v>0</c:v>
                </c:pt>
                <c:pt idx="21">
                  <c:v>5</c:v>
                </c:pt>
                <c:pt idx="22">
                  <c:v>3</c:v>
                </c:pt>
                <c:pt idx="23">
                  <c:v>38</c:v>
                </c:pt>
                <c:pt idx="24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A6-493E-BFC5-2C0B88A1C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461808"/>
        <c:axId val="1334463056"/>
      </c:scatterChart>
      <c:valAx>
        <c:axId val="1334461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Publicaciones</a:t>
                </a:r>
                <a:r>
                  <a:rPr lang="es-ES" baseline="0"/>
                  <a:t> de hombres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34463056"/>
        <c:crosses val="autoZero"/>
        <c:crossBetween val="midCat"/>
      </c:valAx>
      <c:valAx>
        <c:axId val="133446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Número de alumnos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34461808"/>
        <c:crosses val="autoZero"/>
        <c:crossBetween val="midCat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Correlación número</a:t>
            </a:r>
            <a:r>
              <a:rPr lang="en-US" baseline="0"/>
              <a:t> a</a:t>
            </a:r>
            <a:r>
              <a:rPr lang="en-US"/>
              <a:t>lumnas/publicaciones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Línea de investigación</c:v>
          </c:tx>
          <c:spPr>
            <a:ln w="19050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/>
              </a:solidFill>
              <a:ln w="6350" cap="flat" cmpd="sng" algn="ctr">
                <a:solidFill>
                  <a:schemeClr val="accent4"/>
                </a:solidFill>
                <a:prstDash val="solid"/>
                <a:round/>
              </a:ln>
              <a:effectLst/>
            </c:spPr>
          </c:marker>
          <c:trendline>
            <c:spPr>
              <a:ln w="6350" cap="rnd" cmpd="sng" algn="ctr">
                <a:solidFill>
                  <a:schemeClr val="tx1"/>
                </a:solidFill>
                <a:prstDash val="lgDash"/>
                <a:round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7929075766937583"/>
                  <c:y val="0.1533851076834573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'Estudio correlación'!$F$3:$F$152</c:f>
              <c:numCache>
                <c:formatCode>General</c:formatCode>
                <c:ptCount val="150"/>
                <c:pt idx="0">
                  <c:v>45</c:v>
                </c:pt>
                <c:pt idx="1">
                  <c:v>46</c:v>
                </c:pt>
                <c:pt idx="2">
                  <c:v>0</c:v>
                </c:pt>
                <c:pt idx="3">
                  <c:v>9</c:v>
                </c:pt>
                <c:pt idx="4">
                  <c:v>4</c:v>
                </c:pt>
                <c:pt idx="5">
                  <c:v>56</c:v>
                </c:pt>
                <c:pt idx="6">
                  <c:v>8</c:v>
                </c:pt>
                <c:pt idx="7">
                  <c:v>12</c:v>
                </c:pt>
                <c:pt idx="8">
                  <c:v>4</c:v>
                </c:pt>
                <c:pt idx="9">
                  <c:v>52</c:v>
                </c:pt>
                <c:pt idx="10">
                  <c:v>4</c:v>
                </c:pt>
                <c:pt idx="11">
                  <c:v>60</c:v>
                </c:pt>
                <c:pt idx="12">
                  <c:v>20</c:v>
                </c:pt>
                <c:pt idx="13">
                  <c:v>5</c:v>
                </c:pt>
                <c:pt idx="14">
                  <c:v>10</c:v>
                </c:pt>
                <c:pt idx="15">
                  <c:v>0</c:v>
                </c:pt>
                <c:pt idx="16">
                  <c:v>57</c:v>
                </c:pt>
                <c:pt idx="17">
                  <c:v>41</c:v>
                </c:pt>
                <c:pt idx="18">
                  <c:v>185</c:v>
                </c:pt>
                <c:pt idx="19">
                  <c:v>2</c:v>
                </c:pt>
                <c:pt idx="20">
                  <c:v>7</c:v>
                </c:pt>
                <c:pt idx="21">
                  <c:v>62</c:v>
                </c:pt>
                <c:pt idx="22">
                  <c:v>17</c:v>
                </c:pt>
                <c:pt idx="23">
                  <c:v>23</c:v>
                </c:pt>
                <c:pt idx="24">
                  <c:v>17</c:v>
                </c:pt>
                <c:pt idx="25">
                  <c:v>7</c:v>
                </c:pt>
                <c:pt idx="26">
                  <c:v>26</c:v>
                </c:pt>
                <c:pt idx="27">
                  <c:v>7</c:v>
                </c:pt>
                <c:pt idx="28">
                  <c:v>1</c:v>
                </c:pt>
                <c:pt idx="29">
                  <c:v>2</c:v>
                </c:pt>
                <c:pt idx="30">
                  <c:v>11</c:v>
                </c:pt>
                <c:pt idx="31">
                  <c:v>7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27</c:v>
                </c:pt>
                <c:pt idx="36">
                  <c:v>3</c:v>
                </c:pt>
                <c:pt idx="37">
                  <c:v>5</c:v>
                </c:pt>
                <c:pt idx="38">
                  <c:v>9</c:v>
                </c:pt>
                <c:pt idx="39">
                  <c:v>11</c:v>
                </c:pt>
                <c:pt idx="40">
                  <c:v>0</c:v>
                </c:pt>
                <c:pt idx="41">
                  <c:v>0</c:v>
                </c:pt>
                <c:pt idx="42">
                  <c:v>3</c:v>
                </c:pt>
                <c:pt idx="43">
                  <c:v>4</c:v>
                </c:pt>
                <c:pt idx="44">
                  <c:v>6</c:v>
                </c:pt>
                <c:pt idx="45">
                  <c:v>5</c:v>
                </c:pt>
                <c:pt idx="46">
                  <c:v>0</c:v>
                </c:pt>
                <c:pt idx="47">
                  <c:v>8</c:v>
                </c:pt>
                <c:pt idx="48">
                  <c:v>17</c:v>
                </c:pt>
                <c:pt idx="49">
                  <c:v>5</c:v>
                </c:pt>
                <c:pt idx="50">
                  <c:v>0</c:v>
                </c:pt>
                <c:pt idx="51">
                  <c:v>0</c:v>
                </c:pt>
                <c:pt idx="52">
                  <c:v>9</c:v>
                </c:pt>
                <c:pt idx="53">
                  <c:v>14</c:v>
                </c:pt>
                <c:pt idx="54">
                  <c:v>2</c:v>
                </c:pt>
                <c:pt idx="55">
                  <c:v>0</c:v>
                </c:pt>
                <c:pt idx="56">
                  <c:v>13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31</c:v>
                </c:pt>
                <c:pt idx="61">
                  <c:v>1</c:v>
                </c:pt>
                <c:pt idx="62">
                  <c:v>12</c:v>
                </c:pt>
                <c:pt idx="63">
                  <c:v>16</c:v>
                </c:pt>
                <c:pt idx="64">
                  <c:v>23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2</c:v>
                </c:pt>
                <c:pt idx="73">
                  <c:v>8</c:v>
                </c:pt>
                <c:pt idx="74">
                  <c:v>0</c:v>
                </c:pt>
                <c:pt idx="75">
                  <c:v>0</c:v>
                </c:pt>
                <c:pt idx="76">
                  <c:v>5</c:v>
                </c:pt>
                <c:pt idx="77">
                  <c:v>2</c:v>
                </c:pt>
                <c:pt idx="78">
                  <c:v>8</c:v>
                </c:pt>
                <c:pt idx="79">
                  <c:v>68</c:v>
                </c:pt>
                <c:pt idx="80">
                  <c:v>0</c:v>
                </c:pt>
                <c:pt idx="81">
                  <c:v>2</c:v>
                </c:pt>
                <c:pt idx="82">
                  <c:v>10</c:v>
                </c:pt>
                <c:pt idx="83">
                  <c:v>1</c:v>
                </c:pt>
                <c:pt idx="84">
                  <c:v>25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4</c:v>
                </c:pt>
                <c:pt idx="93">
                  <c:v>2</c:v>
                </c:pt>
                <c:pt idx="94">
                  <c:v>15</c:v>
                </c:pt>
                <c:pt idx="95">
                  <c:v>6</c:v>
                </c:pt>
                <c:pt idx="96">
                  <c:v>4</c:v>
                </c:pt>
                <c:pt idx="97">
                  <c:v>6</c:v>
                </c:pt>
                <c:pt idx="98">
                  <c:v>10</c:v>
                </c:pt>
                <c:pt idx="99">
                  <c:v>0</c:v>
                </c:pt>
                <c:pt idx="100">
                  <c:v>2</c:v>
                </c:pt>
                <c:pt idx="101">
                  <c:v>37</c:v>
                </c:pt>
                <c:pt idx="102">
                  <c:v>0</c:v>
                </c:pt>
                <c:pt idx="103">
                  <c:v>0</c:v>
                </c:pt>
                <c:pt idx="104">
                  <c:v>2</c:v>
                </c:pt>
                <c:pt idx="105">
                  <c:v>6</c:v>
                </c:pt>
                <c:pt idx="106">
                  <c:v>0</c:v>
                </c:pt>
                <c:pt idx="107">
                  <c:v>7</c:v>
                </c:pt>
                <c:pt idx="108">
                  <c:v>9</c:v>
                </c:pt>
                <c:pt idx="109">
                  <c:v>2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11</c:v>
                </c:pt>
                <c:pt idx="114">
                  <c:v>1</c:v>
                </c:pt>
                <c:pt idx="115">
                  <c:v>14</c:v>
                </c:pt>
                <c:pt idx="116">
                  <c:v>0</c:v>
                </c:pt>
                <c:pt idx="117">
                  <c:v>7</c:v>
                </c:pt>
                <c:pt idx="118">
                  <c:v>3</c:v>
                </c:pt>
                <c:pt idx="119">
                  <c:v>3</c:v>
                </c:pt>
                <c:pt idx="120">
                  <c:v>15</c:v>
                </c:pt>
                <c:pt idx="121">
                  <c:v>0</c:v>
                </c:pt>
                <c:pt idx="122">
                  <c:v>3</c:v>
                </c:pt>
                <c:pt idx="123">
                  <c:v>2</c:v>
                </c:pt>
                <c:pt idx="124">
                  <c:v>3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7</c:v>
                </c:pt>
                <c:pt idx="129">
                  <c:v>3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12</c:v>
                </c:pt>
                <c:pt idx="134">
                  <c:v>0</c:v>
                </c:pt>
                <c:pt idx="135">
                  <c:v>1</c:v>
                </c:pt>
                <c:pt idx="136">
                  <c:v>3</c:v>
                </c:pt>
                <c:pt idx="137">
                  <c:v>2</c:v>
                </c:pt>
                <c:pt idx="138">
                  <c:v>1</c:v>
                </c:pt>
                <c:pt idx="139">
                  <c:v>4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1</c:v>
                </c:pt>
                <c:pt idx="146">
                  <c:v>0</c:v>
                </c:pt>
                <c:pt idx="147">
                  <c:v>2</c:v>
                </c:pt>
                <c:pt idx="148">
                  <c:v>4</c:v>
                </c:pt>
                <c:pt idx="149">
                  <c:v>2</c:v>
                </c:pt>
              </c:numCache>
            </c:numRef>
          </c:xVal>
          <c:yVal>
            <c:numRef>
              <c:f>'Estudio correlación'!$L$3:$L$152</c:f>
              <c:numCache>
                <c:formatCode>General</c:formatCode>
                <c:ptCount val="150"/>
                <c:pt idx="0">
                  <c:v>2</c:v>
                </c:pt>
                <c:pt idx="1">
                  <c:v>7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6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7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4</c:v>
                </c:pt>
                <c:pt idx="17">
                  <c:v>3</c:v>
                </c:pt>
                <c:pt idx="18">
                  <c:v>14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2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2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</c:v>
                </c:pt>
                <c:pt idx="73">
                  <c:v>2</c:v>
                </c:pt>
                <c:pt idx="74">
                  <c:v>0</c:v>
                </c:pt>
                <c:pt idx="75">
                  <c:v>0</c:v>
                </c:pt>
                <c:pt idx="76">
                  <c:v>1</c:v>
                </c:pt>
                <c:pt idx="77">
                  <c:v>2</c:v>
                </c:pt>
                <c:pt idx="78">
                  <c:v>1</c:v>
                </c:pt>
                <c:pt idx="79">
                  <c:v>5</c:v>
                </c:pt>
                <c:pt idx="80">
                  <c:v>0</c:v>
                </c:pt>
                <c:pt idx="81">
                  <c:v>1</c:v>
                </c:pt>
                <c:pt idx="82">
                  <c:v>2</c:v>
                </c:pt>
                <c:pt idx="83">
                  <c:v>1</c:v>
                </c:pt>
                <c:pt idx="84">
                  <c:v>1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1</c:v>
                </c:pt>
                <c:pt idx="93">
                  <c:v>2</c:v>
                </c:pt>
                <c:pt idx="94">
                  <c:v>6</c:v>
                </c:pt>
                <c:pt idx="95">
                  <c:v>4</c:v>
                </c:pt>
                <c:pt idx="96">
                  <c:v>3</c:v>
                </c:pt>
                <c:pt idx="97">
                  <c:v>2</c:v>
                </c:pt>
                <c:pt idx="98">
                  <c:v>5</c:v>
                </c:pt>
                <c:pt idx="99">
                  <c:v>0</c:v>
                </c:pt>
                <c:pt idx="100">
                  <c:v>2</c:v>
                </c:pt>
                <c:pt idx="101">
                  <c:v>4</c:v>
                </c:pt>
                <c:pt idx="102">
                  <c:v>0</c:v>
                </c:pt>
                <c:pt idx="103">
                  <c:v>0</c:v>
                </c:pt>
                <c:pt idx="104">
                  <c:v>1</c:v>
                </c:pt>
                <c:pt idx="105">
                  <c:v>0</c:v>
                </c:pt>
                <c:pt idx="106">
                  <c:v>0</c:v>
                </c:pt>
                <c:pt idx="107">
                  <c:v>1</c:v>
                </c:pt>
                <c:pt idx="108">
                  <c:v>2</c:v>
                </c:pt>
                <c:pt idx="109">
                  <c:v>1</c:v>
                </c:pt>
                <c:pt idx="110">
                  <c:v>0</c:v>
                </c:pt>
                <c:pt idx="111">
                  <c:v>1</c:v>
                </c:pt>
                <c:pt idx="112">
                  <c:v>0</c:v>
                </c:pt>
                <c:pt idx="113">
                  <c:v>1</c:v>
                </c:pt>
                <c:pt idx="114">
                  <c:v>1</c:v>
                </c:pt>
                <c:pt idx="115">
                  <c:v>3</c:v>
                </c:pt>
                <c:pt idx="116">
                  <c:v>0</c:v>
                </c:pt>
                <c:pt idx="117">
                  <c:v>2</c:v>
                </c:pt>
                <c:pt idx="118">
                  <c:v>1</c:v>
                </c:pt>
                <c:pt idx="119">
                  <c:v>1</c:v>
                </c:pt>
                <c:pt idx="120">
                  <c:v>3</c:v>
                </c:pt>
                <c:pt idx="121">
                  <c:v>0</c:v>
                </c:pt>
                <c:pt idx="122">
                  <c:v>3</c:v>
                </c:pt>
                <c:pt idx="123">
                  <c:v>1</c:v>
                </c:pt>
                <c:pt idx="124">
                  <c:v>1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9</c:v>
                </c:pt>
                <c:pt idx="134">
                  <c:v>0</c:v>
                </c:pt>
                <c:pt idx="135">
                  <c:v>2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3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3</c:v>
                </c:pt>
                <c:pt idx="148">
                  <c:v>5</c:v>
                </c:pt>
                <c:pt idx="149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84-449F-8AFC-1B8ED1B945C8}"/>
            </c:ext>
          </c:extLst>
        </c:ser>
        <c:ser>
          <c:idx val="0"/>
          <c:order val="1"/>
          <c:tx>
            <c:v>Programa de Doctorado</c:v>
          </c:tx>
          <c:spPr>
            <a:ln w="19050" cap="rnd" cmpd="sng" algn="ctr">
              <a:noFill/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6350" cap="flat" cmpd="sng" algn="ctr">
                <a:solidFill>
                  <a:schemeClr val="accent6">
                    <a:lumMod val="75000"/>
                  </a:schemeClr>
                </a:solidFill>
                <a:prstDash val="solid"/>
                <a:round/>
              </a:ln>
              <a:effectLst/>
            </c:spPr>
          </c:marker>
          <c:trendline>
            <c:spPr>
              <a:ln w="19050" cap="rnd" cmpd="sng" algn="ctr">
                <a:solidFill>
                  <a:schemeClr val="tx1">
                    <a:lumMod val="75000"/>
                    <a:lumOff val="25000"/>
                  </a:schemeClr>
                </a:solidFill>
                <a:prstDash val="sysDot"/>
                <a:round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'Estudio correlación'!$H$3:$H$27</c:f>
              <c:numCache>
                <c:formatCode>General</c:formatCode>
                <c:ptCount val="25"/>
                <c:pt idx="0">
                  <c:v>180</c:v>
                </c:pt>
                <c:pt idx="1">
                  <c:v>60</c:v>
                </c:pt>
                <c:pt idx="2">
                  <c:v>95</c:v>
                </c:pt>
                <c:pt idx="3">
                  <c:v>358</c:v>
                </c:pt>
                <c:pt idx="4">
                  <c:v>57</c:v>
                </c:pt>
                <c:pt idx="5">
                  <c:v>43</c:v>
                </c:pt>
                <c:pt idx="6">
                  <c:v>76</c:v>
                </c:pt>
                <c:pt idx="7">
                  <c:v>18</c:v>
                </c:pt>
                <c:pt idx="8">
                  <c:v>30</c:v>
                </c:pt>
                <c:pt idx="9">
                  <c:v>0</c:v>
                </c:pt>
                <c:pt idx="10">
                  <c:v>38</c:v>
                </c:pt>
                <c:pt idx="11">
                  <c:v>83</c:v>
                </c:pt>
                <c:pt idx="12">
                  <c:v>11</c:v>
                </c:pt>
                <c:pt idx="13">
                  <c:v>0</c:v>
                </c:pt>
                <c:pt idx="14">
                  <c:v>96</c:v>
                </c:pt>
                <c:pt idx="15">
                  <c:v>31</c:v>
                </c:pt>
                <c:pt idx="16">
                  <c:v>80</c:v>
                </c:pt>
                <c:pt idx="17">
                  <c:v>8</c:v>
                </c:pt>
                <c:pt idx="18">
                  <c:v>30</c:v>
                </c:pt>
                <c:pt idx="19">
                  <c:v>42</c:v>
                </c:pt>
                <c:pt idx="20">
                  <c:v>3</c:v>
                </c:pt>
                <c:pt idx="21">
                  <c:v>5</c:v>
                </c:pt>
                <c:pt idx="22">
                  <c:v>7</c:v>
                </c:pt>
                <c:pt idx="23">
                  <c:v>26</c:v>
                </c:pt>
                <c:pt idx="24">
                  <c:v>9</c:v>
                </c:pt>
              </c:numCache>
            </c:numRef>
          </c:xVal>
          <c:yVal>
            <c:numRef>
              <c:f>'Estudio correlación'!$N$3:$N$27</c:f>
              <c:numCache>
                <c:formatCode>General</c:formatCode>
                <c:ptCount val="25"/>
                <c:pt idx="0">
                  <c:v>21</c:v>
                </c:pt>
                <c:pt idx="1">
                  <c:v>6</c:v>
                </c:pt>
                <c:pt idx="2">
                  <c:v>14</c:v>
                </c:pt>
                <c:pt idx="3">
                  <c:v>27</c:v>
                </c:pt>
                <c:pt idx="4">
                  <c:v>8</c:v>
                </c:pt>
                <c:pt idx="5">
                  <c:v>11</c:v>
                </c:pt>
                <c:pt idx="6">
                  <c:v>11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0</c:v>
                </c:pt>
                <c:pt idx="14">
                  <c:v>13</c:v>
                </c:pt>
                <c:pt idx="15">
                  <c:v>4</c:v>
                </c:pt>
                <c:pt idx="16">
                  <c:v>26</c:v>
                </c:pt>
                <c:pt idx="17">
                  <c:v>2</c:v>
                </c:pt>
                <c:pt idx="18">
                  <c:v>7</c:v>
                </c:pt>
                <c:pt idx="19">
                  <c:v>10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18</c:v>
                </c:pt>
                <c:pt idx="24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84-449F-8AFC-1B8ED1B94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3022208"/>
        <c:axId val="1073022624"/>
      </c:scatterChart>
      <c:valAx>
        <c:axId val="1073022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Publicaciones de mujeres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73022624"/>
        <c:crosses val="autoZero"/>
        <c:crossBetween val="midCat"/>
      </c:valAx>
      <c:valAx>
        <c:axId val="107302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prstDash val="solid"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Número de alumnas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73022208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_xlchart.v1.1</cx:f>
      </cx:strDim>
      <cx:numDim type="size">
        <cx:f dir="row">_xlchart.v1.0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ES" sz="1400" b="0"/>
              <a:t>Total tesis publicadas en Digibug, TESEO y Dialnet</a:t>
            </a:r>
          </a:p>
        </cx:rich>
      </cx:tx>
    </cx:title>
    <cx:plotArea>
      <cx:plotAreaRegion>
        <cx:series layoutId="treemap" uniqueId="{A4D43EBF-65A2-499D-9BBA-88BA1BFCD7A8}">
          <cx:dataPt idx="0">
            <cx:spPr>
              <a:gradFill>
                <a:gsLst>
                  <a:gs pos="0">
                    <a:schemeClr val="bg1">
                      <a:lumMod val="50000"/>
                    </a:schemeClr>
                  </a:gs>
                  <a:gs pos="0">
                    <a:srgbClr val="D60C0C"/>
                  </a:gs>
                  <a:gs pos="29000">
                    <a:srgbClr val="A30909"/>
                  </a:gs>
                  <a:gs pos="91000">
                    <a:srgbClr val="700606"/>
                  </a:gs>
                </a:gsLst>
                <a:lin ang="0" scaled="0"/>
              </a:gradFill>
            </cx:spPr>
          </cx:dataPt>
          <cx:dataPt idx="1">
            <cx:spPr>
              <a:gradFill>
                <a:gsLst>
                  <a:gs pos="0">
                    <a:srgbClr val="F8F8F8"/>
                  </a:gs>
                  <a:gs pos="0">
                    <a:schemeClr val="accent5">
                      <a:lumMod val="60000"/>
                      <a:lumOff val="40000"/>
                    </a:schemeClr>
                  </a:gs>
                  <a:gs pos="48000">
                    <a:schemeClr val="accent5">
                      <a:lumMod val="75000"/>
                    </a:schemeClr>
                  </a:gs>
                  <a:gs pos="91000">
                    <a:schemeClr val="accent5">
                      <a:lumMod val="50000"/>
                    </a:schemeClr>
                  </a:gs>
                </a:gsLst>
                <a:lin ang="0" scaled="0"/>
              </a:gradFill>
            </cx:spPr>
          </cx:dataPt>
          <cx:dataPt idx="2">
            <cx:spPr>
              <a:gradFill>
                <a:gsLst>
                  <a:gs pos="0">
                    <a:schemeClr val="bg1">
                      <a:lumMod val="50000"/>
                    </a:schemeClr>
                  </a:gs>
                  <a:gs pos="0">
                    <a:srgbClr val="C7C7C7"/>
                  </a:gs>
                  <a:gs pos="41000">
                    <a:schemeClr val="bg1">
                      <a:lumMod val="50000"/>
                    </a:schemeClr>
                  </a:gs>
                  <a:gs pos="91000">
                    <a:schemeClr val="tx1">
                      <a:lumMod val="50000"/>
                      <a:lumOff val="50000"/>
                    </a:schemeClr>
                  </a:gs>
                </a:gsLst>
                <a:lin ang="0" scaled="0"/>
              </a:gradFill>
            </cx:spPr>
          </cx:dataPt>
          <cx:dataLabels pos="inEnd"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sz="1600" b="1"/>
                </a:pPr>
                <a:endParaRPr lang="es-ES" sz="1600" b="1"/>
              </a:p>
            </cx:txPr>
            <cx:visibility seriesName="0" categoryName="1" value="0"/>
            <cx:dataLabel idx="0" pos="inEnd">
              <cx:visibility seriesName="0" categoryName="0" value="1"/>
              <cx:separator>, </cx:separator>
            </cx:dataLabel>
            <cx:dataLabel idx="1" pos="inEnd">
              <cx:visibility seriesName="0" categoryName="0" value="1"/>
              <cx:separator>, </cx:separator>
            </cx:dataLabel>
            <cx:dataLabel idx="2" pos="inEnd">
              <cx:visibility seriesName="0" categoryName="0" value="1"/>
              <cx:separator>, </cx:separator>
            </cx:dataLabel>
          </cx:dataLabels>
          <cx:dataId val="0"/>
          <cx:layoutPr>
            <cx:parentLabelLayout val="banner"/>
          </cx:layoutPr>
        </cx:series>
      </cx:plotAreaRegion>
    </cx:plotArea>
    <cx:legend pos="b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/>
  </cx:chartData>
  <cx:chart>
    <cx:plotArea>
      <cx:plotAreaRegion>
        <cx:series layoutId="sunburst" uniqueId="{4166BE35-2A6D-439B-81F0-40ACD2FF6BE5}">
          <cx:tx>
            <cx:txData>
              <cx:f>_xlchart.v1.2</cx:f>
              <cx:v>Alumnos</cx:v>
            </cx:txData>
          </cx:tx>
          <cx:spPr>
            <a:gradFill>
              <a:gsLst>
                <a:gs pos="0">
                  <a:schemeClr val="bg1">
                    <a:lumMod val="50000"/>
                  </a:schemeClr>
                </a:gs>
                <a:gs pos="0">
                  <a:schemeClr val="bg1">
                    <a:lumMod val="85000"/>
                  </a:schemeClr>
                </a:gs>
                <a:gs pos="60000">
                  <a:schemeClr val="bg1">
                    <a:lumMod val="65000"/>
                  </a:schemeClr>
                </a:gs>
                <a:gs pos="100000">
                  <a:schemeClr val="bg1">
                    <a:lumMod val="50000"/>
                  </a:schemeClr>
                </a:gs>
              </a:gsLst>
              <a:lin ang="5400000" scaled="1"/>
            </a:gradFill>
          </cx:spPr>
          <cx:dataPt idx="0">
            <cx:spPr>
              <a:gradFill>
                <a:gsLst>
                  <a:gs pos="0">
                    <a:srgbClr val="700606"/>
                  </a:gs>
                  <a:gs pos="0">
                    <a:srgbClr val="D60C0C"/>
                  </a:gs>
                  <a:gs pos="60000">
                    <a:srgbClr val="A30909"/>
                  </a:gs>
                  <a:gs pos="100000">
                    <a:srgbClr val="700606"/>
                  </a:gs>
                </a:gsLst>
              </a:gradFill>
            </cx:spPr>
          </cx:dataPt>
          <cx:dataPt idx="1">
            <cx:spPr>
              <a:gradFill>
                <a:gsLst>
                  <a:gs pos="0">
                    <a:schemeClr val="bg1">
                      <a:lumMod val="50000"/>
                    </a:schemeClr>
                  </a:gs>
                  <a:gs pos="0">
                    <a:srgbClr val="C7C7C7"/>
                  </a:gs>
                  <a:gs pos="45000">
                    <a:schemeClr val="bg1">
                      <a:lumMod val="65000"/>
                    </a:schemeClr>
                  </a:gs>
                  <a:gs pos="91000">
                    <a:schemeClr val="bg1">
                      <a:lumMod val="50000"/>
                    </a:schemeClr>
                  </a:gs>
                </a:gsLst>
              </a:gradFill>
            </cx:spPr>
          </cx:dataPt>
          <cx:dataLabels pos="ctr"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sz="1200" b="1"/>
                </a:pPr>
                <a:endParaRPr lang="es-ES" sz="1200" b="1"/>
              </a:p>
            </cx:txPr>
            <cx:visibility seriesName="0" categoryName="0" value="1"/>
            <cx:separator>, </cx:separator>
          </cx:dataLabels>
          <cx:dataId val="0"/>
        </cx:series>
      </cx:plotAreaRegion>
    </cx:plotArea>
    <cx:legend pos="r" align="ctr" overlay="0">
      <cx:txPr>
        <a:bodyPr spcFirstLastPara="1" vertOverflow="ellipsis" wrap="square" lIns="0" tIns="0" rIns="0" bIns="0" anchor="ctr" anchorCtr="1"/>
        <a:lstStyle/>
        <a:p>
          <a:pPr>
            <a:defRPr lang="es-ES" sz="11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defRPr>
          </a:pPr>
          <a:endParaRPr lang="es-ES" sz="1100"/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5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413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2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2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2"/>
    </cs:fontRef>
  </cs:dropLine>
  <cs:errorBar>
    <cs:lnRef idx="0"/>
    <cs:fillRef idx="0"/>
    <cs:effectRef idx="0"/>
    <cs:fontRef idx="minor">
      <a:schemeClr val="tx2"/>
    </cs:fontRef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</cs:hiLoLine>
  <cs:leaderLine>
    <cs:lnRef idx="0"/>
    <cs:fillRef idx="0"/>
    <cs:effectRef idx="0"/>
    <cs:fontRef idx="minor">
      <a:schemeClr val="tx2"/>
    </cs:fontRef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2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2"/>
    </cs:fontRef>
    <cs:defRPr sz="900"/>
  </cs:valueAxis>
  <cs:wall>
    <cs:lnRef idx="0"/>
    <cs:fillRef idx="0"/>
    <cs:effectRef idx="0"/>
    <cs:fontRef idx="minor">
      <a:schemeClr val="tx2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10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microsoft.com/office/2014/relationships/chartEx" Target="../charts/chartEx1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5" Type="http://schemas.microsoft.com/office/2014/relationships/chartEx" Target="../charts/chartEx2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6" Type="http://schemas.openxmlformats.org/officeDocument/2006/relationships/chart" Target="../charts/chart29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5" Type="http://schemas.openxmlformats.org/officeDocument/2006/relationships/chart" Target="../charts/chart2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Relationship Id="rId14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12" Type="http://schemas.openxmlformats.org/officeDocument/2006/relationships/chart" Target="../charts/chart41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11" Type="http://schemas.openxmlformats.org/officeDocument/2006/relationships/chart" Target="../charts/chart40.xml"/><Relationship Id="rId5" Type="http://schemas.openxmlformats.org/officeDocument/2006/relationships/chart" Target="../charts/chart34.xml"/><Relationship Id="rId10" Type="http://schemas.openxmlformats.org/officeDocument/2006/relationships/chart" Target="../charts/chart39.xml"/><Relationship Id="rId4" Type="http://schemas.openxmlformats.org/officeDocument/2006/relationships/chart" Target="../charts/chart33.xml"/><Relationship Id="rId9" Type="http://schemas.openxmlformats.org/officeDocument/2006/relationships/chart" Target="../charts/chart3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5.xml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12" Type="http://schemas.openxmlformats.org/officeDocument/2006/relationships/chart" Target="../charts/chart59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11" Type="http://schemas.openxmlformats.org/officeDocument/2006/relationships/chart" Target="../charts/chart58.xml"/><Relationship Id="rId5" Type="http://schemas.openxmlformats.org/officeDocument/2006/relationships/chart" Target="../charts/chart52.xml"/><Relationship Id="rId10" Type="http://schemas.openxmlformats.org/officeDocument/2006/relationships/chart" Target="../charts/chart57.xml"/><Relationship Id="rId4" Type="http://schemas.openxmlformats.org/officeDocument/2006/relationships/chart" Target="../charts/chart51.xml"/><Relationship Id="rId9" Type="http://schemas.openxmlformats.org/officeDocument/2006/relationships/chart" Target="../charts/chart56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7.xml"/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10" Type="http://schemas.openxmlformats.org/officeDocument/2006/relationships/chart" Target="../charts/chart69.xml"/><Relationship Id="rId4" Type="http://schemas.openxmlformats.org/officeDocument/2006/relationships/chart" Target="../charts/chart63.xml"/><Relationship Id="rId9" Type="http://schemas.openxmlformats.org/officeDocument/2006/relationships/chart" Target="../charts/chart68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7.xml"/><Relationship Id="rId3" Type="http://schemas.openxmlformats.org/officeDocument/2006/relationships/chart" Target="../charts/chart72.xml"/><Relationship Id="rId7" Type="http://schemas.openxmlformats.org/officeDocument/2006/relationships/chart" Target="../charts/chart76.xml"/><Relationship Id="rId12" Type="http://schemas.openxmlformats.org/officeDocument/2006/relationships/chart" Target="../charts/chart81.xml"/><Relationship Id="rId2" Type="http://schemas.openxmlformats.org/officeDocument/2006/relationships/chart" Target="../charts/chart71.xml"/><Relationship Id="rId1" Type="http://schemas.openxmlformats.org/officeDocument/2006/relationships/chart" Target="../charts/chart70.xml"/><Relationship Id="rId6" Type="http://schemas.openxmlformats.org/officeDocument/2006/relationships/chart" Target="../charts/chart75.xml"/><Relationship Id="rId11" Type="http://schemas.openxmlformats.org/officeDocument/2006/relationships/chart" Target="../charts/chart80.xml"/><Relationship Id="rId5" Type="http://schemas.openxmlformats.org/officeDocument/2006/relationships/chart" Target="../charts/chart74.xml"/><Relationship Id="rId10" Type="http://schemas.openxmlformats.org/officeDocument/2006/relationships/chart" Target="../charts/chart79.xml"/><Relationship Id="rId4" Type="http://schemas.openxmlformats.org/officeDocument/2006/relationships/chart" Target="../charts/chart73.xml"/><Relationship Id="rId9" Type="http://schemas.openxmlformats.org/officeDocument/2006/relationships/chart" Target="../charts/chart7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5" Type="http://schemas.openxmlformats.org/officeDocument/2006/relationships/chart" Target="../charts/chart86.xml"/><Relationship Id="rId4" Type="http://schemas.openxmlformats.org/officeDocument/2006/relationships/chart" Target="../charts/chart85.xml"/><Relationship Id="rId9" Type="http://schemas.openxmlformats.org/officeDocument/2006/relationships/chart" Target="../charts/chart9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2.xml"/><Relationship Id="rId1" Type="http://schemas.openxmlformats.org/officeDocument/2006/relationships/chart" Target="../charts/chart9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66675</xdr:rowOff>
    </xdr:from>
    <xdr:to>
      <xdr:col>6</xdr:col>
      <xdr:colOff>0</xdr:colOff>
      <xdr:row>28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28</xdr:row>
      <xdr:rowOff>138793</xdr:rowOff>
    </xdr:from>
    <xdr:to>
      <xdr:col>12</xdr:col>
      <xdr:colOff>9525</xdr:colOff>
      <xdr:row>43</xdr:row>
      <xdr:rowOff>24493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119743</xdr:rowOff>
    </xdr:from>
    <xdr:to>
      <xdr:col>6</xdr:col>
      <xdr:colOff>0</xdr:colOff>
      <xdr:row>43</xdr:row>
      <xdr:rowOff>5443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742950</xdr:colOff>
      <xdr:row>43</xdr:row>
      <xdr:rowOff>5443</xdr:rowOff>
    </xdr:from>
    <xdr:to>
      <xdr:col>12</xdr:col>
      <xdr:colOff>560294</xdr:colOff>
      <xdr:row>57</xdr:row>
      <xdr:rowOff>81643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43</xdr:row>
      <xdr:rowOff>5443</xdr:rowOff>
    </xdr:from>
    <xdr:to>
      <xdr:col>6</xdr:col>
      <xdr:colOff>0</xdr:colOff>
      <xdr:row>57</xdr:row>
      <xdr:rowOff>81643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14</xdr:row>
      <xdr:rowOff>64995</xdr:rowOff>
    </xdr:from>
    <xdr:to>
      <xdr:col>12</xdr:col>
      <xdr:colOff>582706</xdr:colOff>
      <xdr:row>28</xdr:row>
      <xdr:rowOff>141195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12</xdr:col>
      <xdr:colOff>0</xdr:colOff>
      <xdr:row>14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Gráfico 10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5</xdr:col>
      <xdr:colOff>742950</xdr:colOff>
      <xdr:row>57</xdr:row>
      <xdr:rowOff>73959</xdr:rowOff>
    </xdr:from>
    <xdr:to>
      <xdr:col>11</xdr:col>
      <xdr:colOff>742950</xdr:colOff>
      <xdr:row>71</xdr:row>
      <xdr:rowOff>150159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57</xdr:row>
      <xdr:rowOff>73959</xdr:rowOff>
    </xdr:from>
    <xdr:to>
      <xdr:col>6</xdr:col>
      <xdr:colOff>0</xdr:colOff>
      <xdr:row>71</xdr:row>
      <xdr:rowOff>150159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</xdr:colOff>
      <xdr:row>71</xdr:row>
      <xdr:rowOff>114861</xdr:rowOff>
    </xdr:from>
    <xdr:to>
      <xdr:col>13</xdr:col>
      <xdr:colOff>739589</xdr:colOff>
      <xdr:row>86</xdr:row>
      <xdr:rowOff>179295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71</xdr:row>
      <xdr:rowOff>105335</xdr:rowOff>
    </xdr:from>
    <xdr:to>
      <xdr:col>6</xdr:col>
      <xdr:colOff>750793</xdr:colOff>
      <xdr:row>86</xdr:row>
      <xdr:rowOff>156882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86</xdr:row>
      <xdr:rowOff>1</xdr:rowOff>
    </xdr:from>
    <xdr:to>
      <xdr:col>6</xdr:col>
      <xdr:colOff>0</xdr:colOff>
      <xdr:row>100</xdr:row>
      <xdr:rowOff>76201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708774</xdr:colOff>
      <xdr:row>86</xdr:row>
      <xdr:rowOff>67237</xdr:rowOff>
    </xdr:from>
    <xdr:to>
      <xdr:col>11</xdr:col>
      <xdr:colOff>708774</xdr:colOff>
      <xdr:row>100</xdr:row>
      <xdr:rowOff>143437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693715</xdr:colOff>
      <xdr:row>86</xdr:row>
      <xdr:rowOff>67235</xdr:rowOff>
    </xdr:from>
    <xdr:to>
      <xdr:col>17</xdr:col>
      <xdr:colOff>693715</xdr:colOff>
      <xdr:row>100</xdr:row>
      <xdr:rowOff>143435</xdr:rowOff>
    </xdr:to>
    <xdr:graphicFrame macro="">
      <xdr:nvGraphicFramePr>
        <xdr:cNvPr id="22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14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3" name="Gráfico 2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14</xdr:row>
      <xdr:rowOff>76200</xdr:rowOff>
    </xdr:to>
    <xdr:graphicFrame macro="">
      <xdr:nvGraphicFramePr>
        <xdr:cNvPr id="2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47625</xdr:rowOff>
    </xdr:from>
    <xdr:to>
      <xdr:col>6</xdr:col>
      <xdr:colOff>0</xdr:colOff>
      <xdr:row>28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28</xdr:row>
      <xdr:rowOff>104775</xdr:rowOff>
    </xdr:from>
    <xdr:to>
      <xdr:col>6</xdr:col>
      <xdr:colOff>19051</xdr:colOff>
      <xdr:row>42</xdr:row>
      <xdr:rowOff>180975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6</xdr:col>
      <xdr:colOff>0</xdr:colOff>
      <xdr:row>57</xdr:row>
      <xdr:rowOff>76200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</xdr:colOff>
      <xdr:row>42</xdr:row>
      <xdr:rowOff>180975</xdr:rowOff>
    </xdr:from>
    <xdr:to>
      <xdr:col>12</xdr:col>
      <xdr:colOff>1</xdr:colOff>
      <xdr:row>57</xdr:row>
      <xdr:rowOff>66675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752475</xdr:colOff>
      <xdr:row>71</xdr:row>
      <xdr:rowOff>123825</xdr:rowOff>
    </xdr:from>
    <xdr:to>
      <xdr:col>11</xdr:col>
      <xdr:colOff>752475</xdr:colOff>
      <xdr:row>86</xdr:row>
      <xdr:rowOff>9525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71</xdr:row>
      <xdr:rowOff>133350</xdr:rowOff>
    </xdr:from>
    <xdr:to>
      <xdr:col>6</xdr:col>
      <xdr:colOff>9525</xdr:colOff>
      <xdr:row>86</xdr:row>
      <xdr:rowOff>19050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12</xdr:col>
      <xdr:colOff>0</xdr:colOff>
      <xdr:row>14</xdr:row>
      <xdr:rowOff>76200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14</xdr:row>
      <xdr:rowOff>47625</xdr:rowOff>
    </xdr:from>
    <xdr:to>
      <xdr:col>12</xdr:col>
      <xdr:colOff>0</xdr:colOff>
      <xdr:row>28</xdr:row>
      <xdr:rowOff>123825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28</xdr:row>
      <xdr:rowOff>104775</xdr:rowOff>
    </xdr:from>
    <xdr:to>
      <xdr:col>12</xdr:col>
      <xdr:colOff>0</xdr:colOff>
      <xdr:row>42</xdr:row>
      <xdr:rowOff>180975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752475</xdr:colOff>
      <xdr:row>57</xdr:row>
      <xdr:rowOff>66675</xdr:rowOff>
    </xdr:from>
    <xdr:to>
      <xdr:col>11</xdr:col>
      <xdr:colOff>752475</xdr:colOff>
      <xdr:row>71</xdr:row>
      <xdr:rowOff>142875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57</xdr:row>
      <xdr:rowOff>66675</xdr:rowOff>
    </xdr:from>
    <xdr:to>
      <xdr:col>6</xdr:col>
      <xdr:colOff>0</xdr:colOff>
      <xdr:row>71</xdr:row>
      <xdr:rowOff>142875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100</xdr:row>
      <xdr:rowOff>66675</xdr:rowOff>
    </xdr:from>
    <xdr:to>
      <xdr:col>6</xdr:col>
      <xdr:colOff>0</xdr:colOff>
      <xdr:row>114</xdr:row>
      <xdr:rowOff>142875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86</xdr:row>
      <xdr:rowOff>9525</xdr:rowOff>
    </xdr:from>
    <xdr:to>
      <xdr:col>6</xdr:col>
      <xdr:colOff>0</xdr:colOff>
      <xdr:row>100</xdr:row>
      <xdr:rowOff>85725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0</xdr:colOff>
      <xdr:row>86</xdr:row>
      <xdr:rowOff>0</xdr:rowOff>
    </xdr:from>
    <xdr:to>
      <xdr:col>12</xdr:col>
      <xdr:colOff>0</xdr:colOff>
      <xdr:row>100</xdr:row>
      <xdr:rowOff>76200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0</xdr:colOff>
      <xdr:row>100</xdr:row>
      <xdr:rowOff>76200</xdr:rowOff>
    </xdr:from>
    <xdr:to>
      <xdr:col>12</xdr:col>
      <xdr:colOff>0</xdr:colOff>
      <xdr:row>114</xdr:row>
      <xdr:rowOff>152400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7</xdr:col>
      <xdr:colOff>666750</xdr:colOff>
      <xdr:row>16</xdr:row>
      <xdr:rowOff>23812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188117</xdr:rowOff>
    </xdr:from>
    <xdr:to>
      <xdr:col>8</xdr:col>
      <xdr:colOff>285749</xdr:colOff>
      <xdr:row>32</xdr:row>
      <xdr:rowOff>119062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678657</xdr:colOff>
      <xdr:row>0</xdr:row>
      <xdr:rowOff>0</xdr:rowOff>
    </xdr:from>
    <xdr:to>
      <xdr:col>15</xdr:col>
      <xdr:colOff>607219</xdr:colOff>
      <xdr:row>16</xdr:row>
      <xdr:rowOff>23812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271463</xdr:colOff>
      <xdr:row>16</xdr:row>
      <xdr:rowOff>11906</xdr:rowOff>
    </xdr:from>
    <xdr:to>
      <xdr:col>16</xdr:col>
      <xdr:colOff>511970</xdr:colOff>
      <xdr:row>32</xdr:row>
      <xdr:rowOff>178594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32</xdr:row>
      <xdr:rowOff>123825</xdr:rowOff>
    </xdr:from>
    <xdr:to>
      <xdr:col>8</xdr:col>
      <xdr:colOff>297656</xdr:colOff>
      <xdr:row>48</xdr:row>
      <xdr:rowOff>107156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297656</xdr:colOff>
      <xdr:row>32</xdr:row>
      <xdr:rowOff>123824</xdr:rowOff>
    </xdr:from>
    <xdr:to>
      <xdr:col>17</xdr:col>
      <xdr:colOff>190500</xdr:colOff>
      <xdr:row>48</xdr:row>
      <xdr:rowOff>11905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45</xdr:row>
      <xdr:rowOff>80962</xdr:rowOff>
    </xdr:from>
    <xdr:to>
      <xdr:col>7</xdr:col>
      <xdr:colOff>761999</xdr:colOff>
      <xdr:row>59</xdr:row>
      <xdr:rowOff>157162</xdr:rowOff>
    </xdr:to>
    <xdr:graphicFrame macro="">
      <xdr:nvGraphicFramePr>
        <xdr:cNvPr id="13" name="Gráfico 12" title="Cotutelas por Programa de Doctorad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11907</xdr:colOff>
      <xdr:row>45</xdr:row>
      <xdr:rowOff>80962</xdr:rowOff>
    </xdr:from>
    <xdr:to>
      <xdr:col>16</xdr:col>
      <xdr:colOff>35719</xdr:colOff>
      <xdr:row>59</xdr:row>
      <xdr:rowOff>157162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</xdr:colOff>
      <xdr:row>59</xdr:row>
      <xdr:rowOff>169068</xdr:rowOff>
    </xdr:from>
    <xdr:to>
      <xdr:col>8</xdr:col>
      <xdr:colOff>142875</xdr:colOff>
      <xdr:row>74</xdr:row>
      <xdr:rowOff>190499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23812</xdr:colOff>
      <xdr:row>59</xdr:row>
      <xdr:rowOff>166688</xdr:rowOff>
    </xdr:from>
    <xdr:to>
      <xdr:col>16</xdr:col>
      <xdr:colOff>33337</xdr:colOff>
      <xdr:row>74</xdr:row>
      <xdr:rowOff>52388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595312</xdr:colOff>
      <xdr:row>74</xdr:row>
      <xdr:rowOff>185738</xdr:rowOff>
    </xdr:from>
    <xdr:to>
      <xdr:col>15</xdr:col>
      <xdr:colOff>488156</xdr:colOff>
      <xdr:row>89</xdr:row>
      <xdr:rowOff>154782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74</xdr:row>
      <xdr:rowOff>185737</xdr:rowOff>
    </xdr:from>
    <xdr:to>
      <xdr:col>7</xdr:col>
      <xdr:colOff>583406</xdr:colOff>
      <xdr:row>89</xdr:row>
      <xdr:rowOff>71437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219075</xdr:colOff>
      <xdr:row>15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95250</xdr:rowOff>
    </xdr:from>
    <xdr:to>
      <xdr:col>6</xdr:col>
      <xdr:colOff>0</xdr:colOff>
      <xdr:row>29</xdr:row>
      <xdr:rowOff>171450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15</xdr:row>
      <xdr:rowOff>104775</xdr:rowOff>
    </xdr:from>
    <xdr:to>
      <xdr:col>12</xdr:col>
      <xdr:colOff>0</xdr:colOff>
      <xdr:row>29</xdr:row>
      <xdr:rowOff>180975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29</xdr:row>
      <xdr:rowOff>180974</xdr:rowOff>
    </xdr:from>
    <xdr:to>
      <xdr:col>6</xdr:col>
      <xdr:colOff>428625</xdr:colOff>
      <xdr:row>47</xdr:row>
      <xdr:rowOff>95249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428624</xdr:colOff>
      <xdr:row>30</xdr:row>
      <xdr:rowOff>0</xdr:rowOff>
    </xdr:from>
    <xdr:to>
      <xdr:col>13</xdr:col>
      <xdr:colOff>304800</xdr:colOff>
      <xdr:row>45</xdr:row>
      <xdr:rowOff>28575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228600</xdr:colOff>
      <xdr:row>0</xdr:row>
      <xdr:rowOff>0</xdr:rowOff>
    </xdr:from>
    <xdr:to>
      <xdr:col>13</xdr:col>
      <xdr:colOff>381000</xdr:colOff>
      <xdr:row>15</xdr:row>
      <xdr:rowOff>114300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10</xdr:col>
      <xdr:colOff>276225</xdr:colOff>
      <xdr:row>18</xdr:row>
      <xdr:rowOff>152399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247656</xdr:colOff>
      <xdr:row>0</xdr:row>
      <xdr:rowOff>0</xdr:rowOff>
    </xdr:from>
    <xdr:to>
      <xdr:col>20</xdr:col>
      <xdr:colOff>438150</xdr:colOff>
      <xdr:row>18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18</xdr:row>
      <xdr:rowOff>152400</xdr:rowOff>
    </xdr:from>
    <xdr:to>
      <xdr:col>7</xdr:col>
      <xdr:colOff>695324</xdr:colOff>
      <xdr:row>36</xdr:row>
      <xdr:rowOff>76200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704850</xdr:colOff>
      <xdr:row>18</xdr:row>
      <xdr:rowOff>142875</xdr:rowOff>
    </xdr:from>
    <xdr:to>
      <xdr:col>15</xdr:col>
      <xdr:colOff>647700</xdr:colOff>
      <xdr:row>36</xdr:row>
      <xdr:rowOff>66675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36</xdr:row>
      <xdr:rowOff>76199</xdr:rowOff>
    </xdr:from>
    <xdr:to>
      <xdr:col>7</xdr:col>
      <xdr:colOff>647699</xdr:colOff>
      <xdr:row>64</xdr:row>
      <xdr:rowOff>104775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657225</xdr:colOff>
      <xdr:row>36</xdr:row>
      <xdr:rowOff>76198</xdr:rowOff>
    </xdr:from>
    <xdr:to>
      <xdr:col>15</xdr:col>
      <xdr:colOff>533399</xdr:colOff>
      <xdr:row>64</xdr:row>
      <xdr:rowOff>190499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52</xdr:row>
      <xdr:rowOff>76200</xdr:rowOff>
    </xdr:from>
    <xdr:to>
      <xdr:col>7</xdr:col>
      <xdr:colOff>600075</xdr:colOff>
      <xdr:row>66</xdr:row>
      <xdr:rowOff>152400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561975</xdr:colOff>
      <xdr:row>56</xdr:row>
      <xdr:rowOff>123825</xdr:rowOff>
    </xdr:from>
    <xdr:to>
      <xdr:col>15</xdr:col>
      <xdr:colOff>381000</xdr:colOff>
      <xdr:row>71</xdr:row>
      <xdr:rowOff>142875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66</xdr:row>
      <xdr:rowOff>161925</xdr:rowOff>
    </xdr:from>
    <xdr:to>
      <xdr:col>7</xdr:col>
      <xdr:colOff>590550</xdr:colOff>
      <xdr:row>82</xdr:row>
      <xdr:rowOff>28575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352425</xdr:colOff>
      <xdr:row>71</xdr:row>
      <xdr:rowOff>152400</xdr:rowOff>
    </xdr:from>
    <xdr:to>
      <xdr:col>19</xdr:col>
      <xdr:colOff>704850</xdr:colOff>
      <xdr:row>86</xdr:row>
      <xdr:rowOff>38100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219075</xdr:colOff>
      <xdr:row>86</xdr:row>
      <xdr:rowOff>38099</xdr:rowOff>
    </xdr:from>
    <xdr:to>
      <xdr:col>14</xdr:col>
      <xdr:colOff>571500</xdr:colOff>
      <xdr:row>110</xdr:row>
      <xdr:rowOff>85725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86</xdr:row>
      <xdr:rowOff>28575</xdr:rowOff>
    </xdr:from>
    <xdr:to>
      <xdr:col>7</xdr:col>
      <xdr:colOff>228600</xdr:colOff>
      <xdr:row>110</xdr:row>
      <xdr:rowOff>38100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15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12</xdr:col>
      <xdr:colOff>57150</xdr:colOff>
      <xdr:row>14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85725</xdr:rowOff>
    </xdr:from>
    <xdr:to>
      <xdr:col>6</xdr:col>
      <xdr:colOff>0</xdr:colOff>
      <xdr:row>28</xdr:row>
      <xdr:rowOff>161925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14</xdr:row>
      <xdr:rowOff>76200</xdr:rowOff>
    </xdr:from>
    <xdr:to>
      <xdr:col>12</xdr:col>
      <xdr:colOff>0</xdr:colOff>
      <xdr:row>28</xdr:row>
      <xdr:rowOff>152400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28</xdr:row>
      <xdr:rowOff>190499</xdr:rowOff>
    </xdr:from>
    <xdr:to>
      <xdr:col>6</xdr:col>
      <xdr:colOff>152400</xdr:colOff>
      <xdr:row>44</xdr:row>
      <xdr:rowOff>66674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29</xdr:row>
      <xdr:rowOff>0</xdr:rowOff>
    </xdr:from>
    <xdr:to>
      <xdr:col>12</xdr:col>
      <xdr:colOff>0</xdr:colOff>
      <xdr:row>43</xdr:row>
      <xdr:rowOff>76200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66674</xdr:colOff>
      <xdr:row>0</xdr:row>
      <xdr:rowOff>0</xdr:rowOff>
    </xdr:from>
    <xdr:to>
      <xdr:col>18</xdr:col>
      <xdr:colOff>133349</xdr:colOff>
      <xdr:row>14</xdr:row>
      <xdr:rowOff>161925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752475</xdr:colOff>
      <xdr:row>14</xdr:row>
      <xdr:rowOff>76200</xdr:rowOff>
    </xdr:from>
    <xdr:to>
      <xdr:col>17</xdr:col>
      <xdr:colOff>752475</xdr:colOff>
      <xdr:row>28</xdr:row>
      <xdr:rowOff>152400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29</xdr:row>
      <xdr:rowOff>0</xdr:rowOff>
    </xdr:from>
    <xdr:to>
      <xdr:col>18</xdr:col>
      <xdr:colOff>0</xdr:colOff>
      <xdr:row>43</xdr:row>
      <xdr:rowOff>76200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43</xdr:row>
      <xdr:rowOff>76200</xdr:rowOff>
    </xdr:from>
    <xdr:to>
      <xdr:col>6</xdr:col>
      <xdr:colOff>0</xdr:colOff>
      <xdr:row>57</xdr:row>
      <xdr:rowOff>152400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0</xdr:row>
      <xdr:rowOff>1</xdr:rowOff>
    </xdr:from>
    <xdr:to>
      <xdr:col>9</xdr:col>
      <xdr:colOff>142875</xdr:colOff>
      <xdr:row>17</xdr:row>
      <xdr:rowOff>104775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0</xdr:row>
      <xdr:rowOff>0</xdr:rowOff>
    </xdr:from>
    <xdr:to>
      <xdr:col>18</xdr:col>
      <xdr:colOff>200025</xdr:colOff>
      <xdr:row>17</xdr:row>
      <xdr:rowOff>114300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104775</xdr:rowOff>
    </xdr:from>
    <xdr:to>
      <xdr:col>7</xdr:col>
      <xdr:colOff>200024</xdr:colOff>
      <xdr:row>33</xdr:row>
      <xdr:rowOff>104775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190501</xdr:colOff>
      <xdr:row>17</xdr:row>
      <xdr:rowOff>104775</xdr:rowOff>
    </xdr:from>
    <xdr:to>
      <xdr:col>14</xdr:col>
      <xdr:colOff>552450</xdr:colOff>
      <xdr:row>33</xdr:row>
      <xdr:rowOff>104775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30</xdr:row>
      <xdr:rowOff>66675</xdr:rowOff>
    </xdr:from>
    <xdr:to>
      <xdr:col>7</xdr:col>
      <xdr:colOff>238125</xdr:colOff>
      <xdr:row>59</xdr:row>
      <xdr:rowOff>85725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238125</xdr:colOff>
      <xdr:row>30</xdr:row>
      <xdr:rowOff>76200</xdr:rowOff>
    </xdr:from>
    <xdr:to>
      <xdr:col>14</xdr:col>
      <xdr:colOff>704850</xdr:colOff>
      <xdr:row>59</xdr:row>
      <xdr:rowOff>19050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51</xdr:row>
      <xdr:rowOff>19049</xdr:rowOff>
    </xdr:from>
    <xdr:to>
      <xdr:col>9</xdr:col>
      <xdr:colOff>104775</xdr:colOff>
      <xdr:row>66</xdr:row>
      <xdr:rowOff>123824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104774</xdr:colOff>
      <xdr:row>51</xdr:row>
      <xdr:rowOff>9525</xdr:rowOff>
    </xdr:from>
    <xdr:to>
      <xdr:col>17</xdr:col>
      <xdr:colOff>180975</xdr:colOff>
      <xdr:row>65</xdr:row>
      <xdr:rowOff>85725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</xdr:colOff>
      <xdr:row>65</xdr:row>
      <xdr:rowOff>66675</xdr:rowOff>
    </xdr:from>
    <xdr:to>
      <xdr:col>8</xdr:col>
      <xdr:colOff>66675</xdr:colOff>
      <xdr:row>79</xdr:row>
      <xdr:rowOff>142875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85725</xdr:colOff>
      <xdr:row>65</xdr:row>
      <xdr:rowOff>57150</xdr:rowOff>
    </xdr:from>
    <xdr:to>
      <xdr:col>18</xdr:col>
      <xdr:colOff>704850</xdr:colOff>
      <xdr:row>79</xdr:row>
      <xdr:rowOff>133350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619125</xdr:colOff>
      <xdr:row>79</xdr:row>
      <xdr:rowOff>161923</xdr:rowOff>
    </xdr:from>
    <xdr:to>
      <xdr:col>14</xdr:col>
      <xdr:colOff>704850</xdr:colOff>
      <xdr:row>101</xdr:row>
      <xdr:rowOff>123824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79</xdr:row>
      <xdr:rowOff>152399</xdr:rowOff>
    </xdr:from>
    <xdr:to>
      <xdr:col>6</xdr:col>
      <xdr:colOff>647700</xdr:colOff>
      <xdr:row>101</xdr:row>
      <xdr:rowOff>47625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15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13</xdr:col>
      <xdr:colOff>704850</xdr:colOff>
      <xdr:row>14</xdr:row>
      <xdr:rowOff>133350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647700</xdr:colOff>
      <xdr:row>0</xdr:row>
      <xdr:rowOff>0</xdr:rowOff>
    </xdr:from>
    <xdr:to>
      <xdr:col>19</xdr:col>
      <xdr:colOff>647700</xdr:colOff>
      <xdr:row>14</xdr:row>
      <xdr:rowOff>76200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</xdr:row>
      <xdr:rowOff>47625</xdr:rowOff>
    </xdr:from>
    <xdr:to>
      <xdr:col>6</xdr:col>
      <xdr:colOff>0</xdr:colOff>
      <xdr:row>28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14</xdr:row>
      <xdr:rowOff>38100</xdr:rowOff>
    </xdr:from>
    <xdr:to>
      <xdr:col>12</xdr:col>
      <xdr:colOff>9525</xdr:colOff>
      <xdr:row>28</xdr:row>
      <xdr:rowOff>114300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28575</xdr:colOff>
      <xdr:row>14</xdr:row>
      <xdr:rowOff>47625</xdr:rowOff>
    </xdr:from>
    <xdr:to>
      <xdr:col>18</xdr:col>
      <xdr:colOff>28575</xdr:colOff>
      <xdr:row>28</xdr:row>
      <xdr:rowOff>123825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28</xdr:row>
      <xdr:rowOff>133350</xdr:rowOff>
    </xdr:from>
    <xdr:to>
      <xdr:col>6</xdr:col>
      <xdr:colOff>0</xdr:colOff>
      <xdr:row>43</xdr:row>
      <xdr:rowOff>19050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28</xdr:row>
      <xdr:rowOff>133350</xdr:rowOff>
    </xdr:from>
    <xdr:to>
      <xdr:col>12</xdr:col>
      <xdr:colOff>0</xdr:colOff>
      <xdr:row>43</xdr:row>
      <xdr:rowOff>19050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9524</xdr:colOff>
      <xdr:row>28</xdr:row>
      <xdr:rowOff>133350</xdr:rowOff>
    </xdr:from>
    <xdr:to>
      <xdr:col>18</xdr:col>
      <xdr:colOff>533400</xdr:colOff>
      <xdr:row>43</xdr:row>
      <xdr:rowOff>19050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9525</xdr:rowOff>
    </xdr:from>
    <xdr:to>
      <xdr:col>3</xdr:col>
      <xdr:colOff>1928813</xdr:colOff>
      <xdr:row>24</xdr:row>
      <xdr:rowOff>85725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152399</xdr:colOff>
      <xdr:row>25</xdr:row>
      <xdr:rowOff>28575</xdr:rowOff>
    </xdr:from>
    <xdr:to>
      <xdr:col>3</xdr:col>
      <xdr:colOff>1924049</xdr:colOff>
      <xdr:row>39</xdr:row>
      <xdr:rowOff>142875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82"/>
  <sheetViews>
    <sheetView tabSelected="1" topLeftCell="O1" zoomScale="80" zoomScaleNormal="80" workbookViewId="0">
      <selection activeCell="T2" sqref="T2"/>
    </sheetView>
  </sheetViews>
  <sheetFormatPr baseColWidth="10" defaultRowHeight="15" x14ac:dyDescent="0.25"/>
  <cols>
    <col min="7" max="7" width="8.42578125" customWidth="1"/>
    <col min="8" max="8" width="6" customWidth="1"/>
    <col min="9" max="9" width="8" customWidth="1"/>
    <col min="10" max="10" width="15.85546875" customWidth="1"/>
    <col min="11" max="11" width="7.85546875" customWidth="1"/>
    <col min="12" max="14" width="15" customWidth="1"/>
    <col min="17" max="17" width="11.85546875" bestFit="1" customWidth="1"/>
    <col min="19" max="19" width="11.85546875" bestFit="1" customWidth="1"/>
    <col min="20" max="20" width="10.42578125" customWidth="1"/>
    <col min="21" max="21" width="12" customWidth="1"/>
    <col min="22" max="22" width="12.28515625" customWidth="1"/>
    <col min="23" max="23" width="11.42578125" style="31"/>
    <col min="24" max="24" width="12.42578125" customWidth="1"/>
    <col min="25" max="25" width="12.28515625" customWidth="1"/>
    <col min="26" max="26" width="11.42578125" style="31"/>
    <col min="29" max="29" width="12.42578125" customWidth="1"/>
    <col min="30" max="30" width="12.28515625" customWidth="1"/>
    <col min="31" max="31" width="11.42578125" style="31"/>
    <col min="35" max="35" width="12.7109375" customWidth="1"/>
    <col min="36" max="37" width="13.5703125" style="20" customWidth="1"/>
    <col min="38" max="38" width="12.140625" customWidth="1"/>
    <col min="39" max="40" width="12.7109375" customWidth="1"/>
    <col min="41" max="42" width="13.5703125" style="20" customWidth="1"/>
    <col min="43" max="45" width="13.5703125" customWidth="1"/>
    <col min="46" max="46" width="13.5703125" style="20" customWidth="1"/>
    <col min="47" max="47" width="13" customWidth="1"/>
    <col min="48" max="51" width="12.42578125" customWidth="1"/>
    <col min="52" max="52" width="12.28515625" customWidth="1"/>
    <col min="53" max="53" width="12.7109375" customWidth="1"/>
    <col min="54" max="56" width="12.42578125" customWidth="1"/>
    <col min="57" max="57" width="12.28515625" customWidth="1"/>
    <col min="58" max="58" width="12.7109375" customWidth="1"/>
    <col min="59" max="59" width="24.5703125" customWidth="1"/>
    <col min="63" max="63" width="11.85546875" customWidth="1"/>
    <col min="64" max="64" width="12.140625" customWidth="1"/>
    <col min="65" max="65" width="14.5703125" customWidth="1"/>
  </cols>
  <sheetData>
    <row r="1" spans="1:70" ht="15" customHeight="1" x14ac:dyDescent="0.25">
      <c r="U1" s="49" t="s">
        <v>227</v>
      </c>
      <c r="V1" s="46" t="s">
        <v>228</v>
      </c>
      <c r="W1" s="48"/>
      <c r="X1" s="46" t="s">
        <v>231</v>
      </c>
      <c r="Y1" s="47"/>
      <c r="Z1" s="47"/>
      <c r="AA1" s="47"/>
      <c r="AB1" s="48"/>
      <c r="AC1" s="46" t="s">
        <v>251</v>
      </c>
      <c r="AD1" s="47"/>
      <c r="AE1" s="47"/>
      <c r="AF1" s="47"/>
      <c r="AG1" s="48"/>
      <c r="AH1" s="53" t="s">
        <v>236</v>
      </c>
      <c r="AI1" s="53" t="s">
        <v>256</v>
      </c>
      <c r="AJ1" s="49" t="s">
        <v>257</v>
      </c>
      <c r="AK1" s="49" t="s">
        <v>258</v>
      </c>
      <c r="AL1" s="51" t="s">
        <v>235</v>
      </c>
      <c r="AM1" s="51" t="s">
        <v>237</v>
      </c>
      <c r="AN1" s="51" t="s">
        <v>254</v>
      </c>
      <c r="AO1" s="49" t="s">
        <v>253</v>
      </c>
      <c r="AP1" s="49" t="s">
        <v>255</v>
      </c>
      <c r="AQ1" s="51" t="s">
        <v>238</v>
      </c>
      <c r="AR1" s="51" t="s">
        <v>241</v>
      </c>
      <c r="AS1" s="51" t="s">
        <v>240</v>
      </c>
      <c r="AT1" s="49" t="s">
        <v>219</v>
      </c>
      <c r="AU1" s="46" t="s">
        <v>217</v>
      </c>
      <c r="AV1" s="48"/>
      <c r="AW1" s="46" t="s">
        <v>222</v>
      </c>
      <c r="AX1" s="47"/>
      <c r="AY1" s="47"/>
      <c r="AZ1" s="47"/>
      <c r="BA1" s="48"/>
      <c r="BB1" s="46" t="s">
        <v>252</v>
      </c>
      <c r="BC1" s="47"/>
      <c r="BD1" s="47"/>
      <c r="BE1" s="47"/>
      <c r="BF1" s="48"/>
      <c r="BG1" s="51" t="s">
        <v>221</v>
      </c>
      <c r="BH1" s="67" t="s">
        <v>220</v>
      </c>
      <c r="BI1" s="68"/>
      <c r="BJ1" s="68"/>
      <c r="BK1" s="68"/>
      <c r="BL1" s="69"/>
      <c r="BM1" s="51" t="s">
        <v>218</v>
      </c>
      <c r="BN1" s="67" t="s">
        <v>223</v>
      </c>
      <c r="BO1" s="68"/>
      <c r="BP1" s="68"/>
      <c r="BQ1" s="68"/>
      <c r="BR1" s="69"/>
    </row>
    <row r="2" spans="1:70" x14ac:dyDescent="0.25">
      <c r="M2" s="14"/>
      <c r="U2" s="50"/>
      <c r="V2" s="18" t="s">
        <v>212</v>
      </c>
      <c r="W2" s="18" t="s">
        <v>213</v>
      </c>
      <c r="X2" s="26">
        <v>2013</v>
      </c>
      <c r="Y2" s="18">
        <v>2014</v>
      </c>
      <c r="Z2" s="18">
        <v>2015</v>
      </c>
      <c r="AA2" s="18">
        <v>2016</v>
      </c>
      <c r="AB2" s="18">
        <v>2017</v>
      </c>
      <c r="AC2" s="26">
        <v>2014</v>
      </c>
      <c r="AD2" s="18">
        <v>2015</v>
      </c>
      <c r="AE2" s="18">
        <v>2016</v>
      </c>
      <c r="AF2" s="18">
        <v>2017</v>
      </c>
      <c r="AG2" s="18">
        <v>2018</v>
      </c>
      <c r="AH2" s="54"/>
      <c r="AI2" s="54"/>
      <c r="AJ2" s="50"/>
      <c r="AK2" s="50"/>
      <c r="AL2" s="52"/>
      <c r="AM2" s="52"/>
      <c r="AN2" s="52"/>
      <c r="AO2" s="50"/>
      <c r="AP2" s="50"/>
      <c r="AQ2" s="52"/>
      <c r="AR2" s="52"/>
      <c r="AS2" s="52"/>
      <c r="AT2" s="50"/>
      <c r="AU2" s="18" t="s">
        <v>212</v>
      </c>
      <c r="AV2" s="18" t="s">
        <v>213</v>
      </c>
      <c r="AW2" s="26">
        <v>2013</v>
      </c>
      <c r="AX2" s="18">
        <v>2014</v>
      </c>
      <c r="AY2" s="18">
        <v>2015</v>
      </c>
      <c r="AZ2" s="18">
        <v>2016</v>
      </c>
      <c r="BA2" s="18">
        <v>2017</v>
      </c>
      <c r="BB2" s="26">
        <v>2014</v>
      </c>
      <c r="BC2" s="18">
        <v>2015</v>
      </c>
      <c r="BD2" s="18">
        <v>2016</v>
      </c>
      <c r="BE2" s="18">
        <v>2017</v>
      </c>
      <c r="BF2" s="18">
        <v>2018</v>
      </c>
      <c r="BG2" s="52"/>
      <c r="BH2" s="25">
        <v>2013</v>
      </c>
      <c r="BI2" s="25">
        <v>2014</v>
      </c>
      <c r="BJ2" s="25">
        <v>2015</v>
      </c>
      <c r="BK2" s="25">
        <v>2016</v>
      </c>
      <c r="BL2" s="25">
        <v>2017</v>
      </c>
      <c r="BM2" s="52"/>
      <c r="BN2" s="25">
        <v>2013</v>
      </c>
      <c r="BO2" s="25">
        <v>2014</v>
      </c>
      <c r="BP2" s="25">
        <v>2015</v>
      </c>
      <c r="BQ2" s="25">
        <v>2016</v>
      </c>
      <c r="BR2" s="25">
        <v>2017</v>
      </c>
    </row>
    <row r="3" spans="1:70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259</v>
      </c>
      <c r="F3" s="1" t="s">
        <v>214</v>
      </c>
      <c r="G3" s="1" t="s">
        <v>232</v>
      </c>
      <c r="H3" s="1" t="s">
        <v>235</v>
      </c>
      <c r="I3" s="1" t="s">
        <v>237</v>
      </c>
      <c r="J3" s="1" t="s">
        <v>238</v>
      </c>
      <c r="K3" s="1" t="s">
        <v>239</v>
      </c>
      <c r="L3" s="1" t="s">
        <v>240</v>
      </c>
      <c r="M3" s="1" t="s">
        <v>249</v>
      </c>
      <c r="N3" s="45" t="s">
        <v>250</v>
      </c>
      <c r="O3" s="61" t="s">
        <v>243</v>
      </c>
      <c r="P3" s="62"/>
      <c r="Q3" s="62"/>
      <c r="R3" s="62"/>
      <c r="S3" s="62"/>
      <c r="T3" s="63"/>
      <c r="U3" s="15">
        <f>COUNTIFS( B4:B451,"Ciencias de la Salud")</f>
        <v>154</v>
      </c>
      <c r="V3" s="15">
        <f>COUNTIFS( B4:B451,"Ciencias de la Salud",F4:F451,"Hombre")</f>
        <v>67</v>
      </c>
      <c r="W3" s="15">
        <f>COUNTIFS( B4:B451,"Ciencias de la Salud",F4:F451,"Mujer")</f>
        <v>87</v>
      </c>
      <c r="X3" s="27">
        <f>COUNTIFS(   A4:A451,"2013", B4:B451,"Ciencias de la Salud")</f>
        <v>1</v>
      </c>
      <c r="Y3" s="3">
        <f>COUNTIFS(   A4:A451,"2014", B4:B451,"Ciencias de la Salud")</f>
        <v>11</v>
      </c>
      <c r="Z3" s="3">
        <f>COUNTIFS(   A4:A451,"2015", B4:B451,"Ciencias de la Salud")</f>
        <v>23</v>
      </c>
      <c r="AA3" s="3">
        <f>COUNTIFS(   A4:A451,"2016", B4:B451,"Ciencias de la Salud")</f>
        <v>55</v>
      </c>
      <c r="AB3" s="3">
        <f>COUNTIFS(   A4:A451,"2017", B4:B451,"Ciencias de la Salud")</f>
        <v>64</v>
      </c>
      <c r="AC3" s="27">
        <f>COUNTIFS(   N4:N451,"2014", B4:B451,"Ciencias de la Salud")</f>
        <v>8</v>
      </c>
      <c r="AD3" s="3">
        <f>COUNTIFS(   N4:N451,"2015", B4:B451,"Ciencias de la Salud")</f>
        <v>9</v>
      </c>
      <c r="AE3" s="3">
        <f>COUNTIFS(   N4:N451,"2016", B4:B451,"Ciencias de la Salud")</f>
        <v>25</v>
      </c>
      <c r="AF3" s="3">
        <f>COUNTIFS(   N4:N451,"2017", B4:B451,"Ciencias de la Salud")</f>
        <v>73</v>
      </c>
      <c r="AG3" s="3">
        <f>COUNTIFS(   N4:N451,"2018", B4:B451,"Ciencias de la Salud")</f>
        <v>39</v>
      </c>
      <c r="AH3" s="15">
        <f>COUNTIFS( B4:B451,"Ciencias de la Salud",G4:G451,"Sí")</f>
        <v>3</v>
      </c>
      <c r="AI3" s="15">
        <f>COUNTIFS( B4:B451,"Ciencias de la Salud",G4:G451,"No")</f>
        <v>151</v>
      </c>
      <c r="AJ3" s="15">
        <f>SUMIFS(E4:E451,B4:B451,"Ciencias de la Salud",G4:G451,"Sí")</f>
        <v>16</v>
      </c>
      <c r="AK3" s="15">
        <f>SUMIFS(E4:E451,B4:B451,"Ciencias de la Salud",G4:G451,"No")</f>
        <v>1476</v>
      </c>
      <c r="AL3" s="15">
        <f>COUNTIFS( B4:B451,"Ciencias de la Salud",H4:H451,"Sí")</f>
        <v>21</v>
      </c>
      <c r="AM3" s="15">
        <f>COUNTIFS( B4:B451,"Ciencias de la Salud",I4:I451,"Sí")</f>
        <v>54</v>
      </c>
      <c r="AN3" s="15">
        <f>COUNTIFS( B4:B451,"Ciencias de la Salud",I4:I451,"No")</f>
        <v>100</v>
      </c>
      <c r="AO3" s="15">
        <f>SUMIFS(E4:E451,B4:B451,"Ciencias de la Salud",I4:I451,"Sí")</f>
        <v>664</v>
      </c>
      <c r="AP3" s="15">
        <f>SUMIFS(E4:E451,B4:B451,"Ciencias de la Salud",I4:I451,"No")</f>
        <v>828</v>
      </c>
      <c r="AQ3" s="15">
        <f>COUNTIFS( B4:B451,"Ciencias de la Salud",J4:J451,"Sí")</f>
        <v>140</v>
      </c>
      <c r="AR3" s="15">
        <f>COUNTIFS( B4:B451,"Ciencias de la Salud",K4:K451,"Sí")</f>
        <v>63</v>
      </c>
      <c r="AS3" s="15">
        <f>COUNTIFS( B4:B451,"Ciencias de la Salud",L4:L451,"Sí")</f>
        <v>142</v>
      </c>
      <c r="AT3" s="15">
        <f>SUMIFS(E4:E451,B4:B451,"Ciencias de la Salud")</f>
        <v>1492</v>
      </c>
      <c r="AU3" s="3">
        <f>SUMIFS( E4:E451, F4:F451,"Hombre", B4:B451,"Ciencias de la Salud")</f>
        <v>699</v>
      </c>
      <c r="AV3" s="3">
        <f>SUMIFS( E4:E451, F4:F451,"Mujer", B4:B451,"Ciencias de la Salud")</f>
        <v>793</v>
      </c>
      <c r="AW3" s="27">
        <f>SUMIFS( E4:E451, A4:A451,"2013", B4:B451,"Ciencias de la Salud")</f>
        <v>10</v>
      </c>
      <c r="AX3" s="3">
        <f>SUMIFS( E4:E451, A4:A451,"2014", B4:B451,"Ciencias de la Salud")</f>
        <v>83</v>
      </c>
      <c r="AY3" s="3">
        <f>SUMIFS( E4:E451, A4:A451,"2015", B4:B451,"Ciencias de la Salud")</f>
        <v>343</v>
      </c>
      <c r="AZ3" s="3">
        <f>SUMIFS( E4:E451, A4:A451,"2016", B4:B451,"Ciencias de la Salud")</f>
        <v>454</v>
      </c>
      <c r="BA3" s="3">
        <f>SUMIFS( E4:E451, A4:A451,"2017", B4:B451,"Ciencias de la Salud")</f>
        <v>602</v>
      </c>
      <c r="BB3" s="27">
        <f>SUMIFS( E4:E451, N4:N451,"2014", B4:B451,"Ciencias de la Salud")</f>
        <v>58</v>
      </c>
      <c r="BC3" s="3">
        <f>SUMIFS( E4:E451, N4:N451,"2015", B4:B451,"Ciencias de la Salud")</f>
        <v>96</v>
      </c>
      <c r="BD3" s="3">
        <f>SUMIFS( E4:E451, N4:N451,"2016", B4:B451,"Ciencias de la Salud")</f>
        <v>348</v>
      </c>
      <c r="BE3" s="3">
        <f>SUMIFS( E4:E451, N4:N451,"2017", B4:B451,"Ciencias de la Salud")</f>
        <v>563</v>
      </c>
      <c r="BF3" s="3">
        <f>SUMIFS( E4:E451, N4:N451,"2018", B4:B451,"Ciencias de la Salud")</f>
        <v>427</v>
      </c>
      <c r="BG3" s="21">
        <f>AVERAGEIFS(E4:E451,B4:B451,"Ciencias de la Salud")</f>
        <v>9.6883116883116891</v>
      </c>
      <c r="BH3" s="19">
        <f>AVERAGEIFS( E4:E451, A4:A451,"2013", B4:B451,"Ciencias de la Salud")</f>
        <v>10</v>
      </c>
      <c r="BI3" s="19">
        <f>AVERAGEIFS( E4:E451, A4:A451,"2014", B4:B451,"Ciencias de la Salud")</f>
        <v>7.5454545454545459</v>
      </c>
      <c r="BJ3" s="19">
        <f>AVERAGEIFS( E4:E451, A4:A451,"2015", B4:B451,"Ciencias de la Salud")</f>
        <v>14.913043478260869</v>
      </c>
      <c r="BK3" s="19">
        <f>AVERAGEIFS( E4:E451, A4:A451,"2016", B4:B451,"Ciencias de la Salud")</f>
        <v>8.254545454545454</v>
      </c>
      <c r="BL3" s="19">
        <f>AVERAGEIFS( E4:E451, A4:A451,"2017", B4:B451,"Ciencias de la Salud")</f>
        <v>9.40625</v>
      </c>
      <c r="BM3" s="21">
        <f>AVERAGE(AT4,AT13,AT17,AT22,AT30,AT34)</f>
        <v>248.66666666666666</v>
      </c>
      <c r="BN3" s="19">
        <f>AVERAGE(AW4,AW13,AW17,AW22,AW30,AW34)</f>
        <v>1.6666666666666667</v>
      </c>
      <c r="BO3" s="19">
        <f>AVERAGE(AX4,AX13,AX17,AX22,AX30,AX34)</f>
        <v>13.833333333333334</v>
      </c>
      <c r="BP3" s="19">
        <f>AVERAGE(AY4,AY13,AY17,AY22,AY30,AY34)</f>
        <v>57.166666666666664</v>
      </c>
      <c r="BQ3" s="19">
        <f>AVERAGE(AZ4,AZ13,AZ17,AZ22,AZ30,AZ34)</f>
        <v>75.666666666666671</v>
      </c>
      <c r="BR3" s="19">
        <f>AVERAGE(BA4,BA13,BA17,BA22,BA30,BA34)</f>
        <v>100.33333333333333</v>
      </c>
    </row>
    <row r="4" spans="1:70" ht="15" customHeight="1" x14ac:dyDescent="0.25">
      <c r="A4">
        <v>2017</v>
      </c>
      <c r="B4" t="s">
        <v>4</v>
      </c>
      <c r="C4" t="s">
        <v>5</v>
      </c>
      <c r="D4" t="s">
        <v>6</v>
      </c>
      <c r="E4">
        <v>9</v>
      </c>
      <c r="F4" t="s">
        <v>215</v>
      </c>
      <c r="G4" t="s">
        <v>233</v>
      </c>
      <c r="H4" t="s">
        <v>234</v>
      </c>
      <c r="I4" t="s">
        <v>234</v>
      </c>
      <c r="J4" t="s">
        <v>233</v>
      </c>
      <c r="K4" t="s">
        <v>233</v>
      </c>
      <c r="L4" t="s">
        <v>233</v>
      </c>
      <c r="M4" s="14">
        <v>43245</v>
      </c>
      <c r="N4" s="14" t="str">
        <f>TEXT(M4,"aaaa")</f>
        <v>2018</v>
      </c>
      <c r="O4" s="58" t="s">
        <v>43</v>
      </c>
      <c r="P4" s="59"/>
      <c r="Q4" s="59"/>
      <c r="R4" s="59"/>
      <c r="S4" s="59"/>
      <c r="T4" s="60"/>
      <c r="U4" s="4">
        <f>COUNTIFS(   C4:C451,"Biomedicina")</f>
        <v>36</v>
      </c>
      <c r="V4" s="4">
        <f>COUNTIFS(   C4:C451,"Biomedicina",F4:F451,"Hombre")</f>
        <v>15</v>
      </c>
      <c r="W4" s="4">
        <f>COUNTIFS(   C4:C451,"Biomedicina",F4:F451,"Mujer")</f>
        <v>21</v>
      </c>
      <c r="X4" s="28">
        <f>COUNTIFS(   A4:A451,"2013", C4:C451,"Biomedicina")</f>
        <v>0</v>
      </c>
      <c r="Y4" s="4">
        <f>COUNTIFS(   A4:A451,"2014", C4:C451,"Biomedicina")</f>
        <v>5</v>
      </c>
      <c r="Z4" s="4">
        <f>COUNTIFS(   A4:A451,"2015", C4:C451,"Biomedicina")</f>
        <v>5</v>
      </c>
      <c r="AA4" s="4">
        <f>COUNTIFS(   A4:A451,"2016", C4:C451,"Biomedicina")</f>
        <v>13</v>
      </c>
      <c r="AB4" s="4">
        <f>COUNTIFS(   A4:A451,"2017", C4:C451,"Biomedicina")</f>
        <v>13</v>
      </c>
      <c r="AC4" s="28">
        <f>COUNTIFS(   N4:N451,"2014", C4:C451,"Biomedicina")</f>
        <v>5</v>
      </c>
      <c r="AD4" s="4">
        <f>COUNTIFS(   N4:N451,"2015", C4:C451,"Biomedicina")</f>
        <v>1</v>
      </c>
      <c r="AE4" s="4">
        <f>COUNTIFS(   N4:N451,"2016", C4:C451,"Biomedicina")</f>
        <v>5</v>
      </c>
      <c r="AF4" s="4">
        <f>COUNTIFS(   N4:N451,"2017", C4:C451,"Biomedicina")</f>
        <v>17</v>
      </c>
      <c r="AG4" s="4">
        <f>COUNTIFS(   N4:N451,"2018", C4:C451,"Biomedicina")</f>
        <v>8</v>
      </c>
      <c r="AH4" s="4">
        <f>COUNTIFS(   C4:C451,"Biomedicina",G4:G451,"Sí")</f>
        <v>0</v>
      </c>
      <c r="AI4" s="4">
        <f>COUNTIFS(   C4:C451,"Biomedicina",G4:G451,"No")</f>
        <v>36</v>
      </c>
      <c r="AJ4" s="4">
        <f>SUMIFS( E4:E451, C4:C451,"Biomedicina",G4:G451,"Sí")</f>
        <v>0</v>
      </c>
      <c r="AK4" s="4">
        <f>SUMIFS( E4:E451, C4:C451,"Biomedicina",G4:G451,"No")</f>
        <v>355</v>
      </c>
      <c r="AL4" s="4">
        <f>COUNTIFS(   C4:C451,"Biomedicina",H4:H451,"Sí")</f>
        <v>8</v>
      </c>
      <c r="AM4" s="4">
        <f>COUNTIFS(   C4:C451,"Biomedicina",I4:I451,"Sí")</f>
        <v>15</v>
      </c>
      <c r="AN4" s="4">
        <f>COUNTIFS(   C4:C451,"Biomedicina",I4:I451,"No")</f>
        <v>21</v>
      </c>
      <c r="AO4" s="4">
        <f>SUMIFS( E4:E451, C4:C451,"Biomedicina",I4:I451,"Sí")</f>
        <v>239</v>
      </c>
      <c r="AP4" s="4">
        <f>SUMIFS( E4:E451, C4:C451,"Biomedicina",I4:I451,"No")</f>
        <v>116</v>
      </c>
      <c r="AQ4" s="4">
        <f>COUNTIFS(   C4:C451,"Biomedicina",J4:J451,"Sí")</f>
        <v>35</v>
      </c>
      <c r="AR4" s="4">
        <f>COUNTIFS(   C4:C451,"Biomedicina",K4:K451,"Sí")</f>
        <v>18</v>
      </c>
      <c r="AS4" s="4">
        <f>COUNTIFS(   C4:C451,"Biomedicina",L4:L451,"Sí")</f>
        <v>34</v>
      </c>
      <c r="AT4" s="4">
        <f>SUMIFS( E4:E451, C4:C451,"Biomedicina")</f>
        <v>355</v>
      </c>
      <c r="AU4" s="4">
        <f>SUMIFS( E4:E451, F4:F451,"Hombre", C4:C451,"Biomedicina")</f>
        <v>175</v>
      </c>
      <c r="AV4" s="4">
        <f>SUMIFS( E4:E451, F4:F451,"Mujer", C4:C451,"Biomedicina")</f>
        <v>180</v>
      </c>
      <c r="AW4" s="28">
        <f>SUMIFS( E4:E451, A4:A451,"2013", C4:C451,"Biomedicina")</f>
        <v>0</v>
      </c>
      <c r="AX4" s="4">
        <f>SUMIFS( E4:E451, A4:A451,"2014", C4:C451,"Biomedicina")</f>
        <v>38</v>
      </c>
      <c r="AY4" s="4">
        <f>SUMIFS( E4:E451, A4:A451,"2015", C4:C451,"Biomedicina")</f>
        <v>67</v>
      </c>
      <c r="AZ4" s="4">
        <f>SUMIFS( E4:E451, A4:A451,"2016", C4:C451,"Biomedicina")</f>
        <v>102</v>
      </c>
      <c r="BA4" s="4">
        <f>SUMIFS( E4:E451, A4:A451,"2017", C4:C451,"Biomedicina")</f>
        <v>148</v>
      </c>
      <c r="BB4" s="28">
        <f>SUMIFS( E4:E451, N4:N451,"2014", C4:C451,"Biomedicina")</f>
        <v>38</v>
      </c>
      <c r="BC4" s="4">
        <f>SUMIFS( E4:E451, N4:N451,"2015", C4:C451,"Biomedicina")</f>
        <v>34</v>
      </c>
      <c r="BD4" s="4">
        <f>SUMIFS( E4:E451, N4:N451,"2016", C4:C451,"Biomedicina")</f>
        <v>41</v>
      </c>
      <c r="BE4" s="4">
        <f>SUMIFS( E4:E451, N4:N451,"2017", C4:C451,"Biomedicina")</f>
        <v>124</v>
      </c>
      <c r="BF4" s="4">
        <f>SUMIFS( E4:E451, N4:N451,"2018", C4:C451,"Biomedicina")</f>
        <v>118</v>
      </c>
      <c r="BG4" s="22">
        <f>AVERAGEIFS( E4:E451, C4:C451,"Biomedicina")</f>
        <v>9.8611111111111107</v>
      </c>
      <c r="BH4" s="22">
        <v>0</v>
      </c>
      <c r="BI4" s="22">
        <f>AVERAGEIFS( E4:E451, A4:A451,"2014", C4:C451,"Biomedicina")</f>
        <v>7.6</v>
      </c>
      <c r="BJ4" s="22">
        <f>AVERAGEIFS( E4:E451, A4:A451,"2015", C4:C451,"Biomedicina")</f>
        <v>13.4</v>
      </c>
      <c r="BK4" s="22">
        <f>AVERAGEIFS( E4:E451, A4:A451,"2016", C4:C451,"Biomedicina")</f>
        <v>7.8461538461538458</v>
      </c>
      <c r="BL4" s="22">
        <f>AVERAGEIFS( E4:E451, A4:A451,"2017", C4:C451,"Biomedicina")</f>
        <v>11.384615384615385</v>
      </c>
      <c r="BM4" s="22">
        <f>AVERAGE(AT5:AT12)</f>
        <v>44.375</v>
      </c>
      <c r="BN4" s="22">
        <f>AVERAGE(AW5:AW12)</f>
        <v>0</v>
      </c>
      <c r="BO4" s="22">
        <f>AVERAGE(AX5:AX12)</f>
        <v>4.75</v>
      </c>
      <c r="BP4" s="22">
        <f>AVERAGE(AY5:AY12)</f>
        <v>8.375</v>
      </c>
      <c r="BQ4" s="22">
        <f>AVERAGE(AZ5:AZ12)</f>
        <v>12.75</v>
      </c>
      <c r="BR4" s="22">
        <f>AVERAGE(BA5:BA12)</f>
        <v>18.5</v>
      </c>
    </row>
    <row r="5" spans="1:70" ht="15" customHeight="1" x14ac:dyDescent="0.25">
      <c r="A5">
        <v>2017</v>
      </c>
      <c r="B5" t="s">
        <v>4</v>
      </c>
      <c r="C5" t="s">
        <v>5</v>
      </c>
      <c r="D5" t="s">
        <v>7</v>
      </c>
      <c r="E5">
        <v>2</v>
      </c>
      <c r="F5" t="s">
        <v>211</v>
      </c>
      <c r="G5" t="s">
        <v>233</v>
      </c>
      <c r="H5" t="s">
        <v>233</v>
      </c>
      <c r="I5" t="s">
        <v>233</v>
      </c>
      <c r="J5" t="s">
        <v>234</v>
      </c>
      <c r="K5" t="s">
        <v>233</v>
      </c>
      <c r="L5" t="s">
        <v>234</v>
      </c>
      <c r="M5" s="14">
        <v>43214</v>
      </c>
      <c r="N5" s="14" t="str">
        <f t="shared" ref="N5:N68" si="0">TEXT(M5,"aaaa")</f>
        <v>2018</v>
      </c>
      <c r="O5" s="55" t="s">
        <v>7</v>
      </c>
      <c r="P5" s="56"/>
      <c r="Q5" s="56"/>
      <c r="R5" s="56"/>
      <c r="S5" s="56"/>
      <c r="T5" s="57"/>
      <c r="U5" s="5">
        <f>COUNTIFS(   D4:D451,"Actividad Física y Deporte")</f>
        <v>7</v>
      </c>
      <c r="V5" s="5">
        <f>COUNTIFS(   D4:D451,"Actividad Física y Deporte",F4:F451,"Hombre")</f>
        <v>5</v>
      </c>
      <c r="W5" s="5">
        <f>COUNTIFS(   D4:D451,"Actividad Física y Deporte",F4:F451,"Mujer")</f>
        <v>2</v>
      </c>
      <c r="X5" s="29">
        <f>COUNTIFS(   A4:A451,"2013", D4:D451,"Actividad Física y Deporte")</f>
        <v>0</v>
      </c>
      <c r="Y5" s="5">
        <f>COUNTIFS(   A4:A451,"2014", D4:D451,"Actividad Física y Deporte")</f>
        <v>1</v>
      </c>
      <c r="Z5" s="5">
        <f>COUNTIFS(   A4:A451,"2015", D4:D451,"Actividad Física y Deporte")</f>
        <v>2</v>
      </c>
      <c r="AA5" s="5">
        <f>COUNTIFS(   A4:A451,"2016", D4:D451,"Actividad Física y Deporte")</f>
        <v>1</v>
      </c>
      <c r="AB5" s="5">
        <f>COUNTIFS(   A4:A451,"2017", D4:D451,"Actividad Física y Deporte")</f>
        <v>3</v>
      </c>
      <c r="AC5" s="29">
        <f>COUNTIFS(   N4:N451,"2014", D4:D451,"Actividad Física y Deporte")</f>
        <v>1</v>
      </c>
      <c r="AD5" s="5">
        <f>COUNTIFS(   N4:N451,"2015", D4:D451,"Actividad Física y Deporte")</f>
        <v>1</v>
      </c>
      <c r="AE5" s="5">
        <f>COUNTIFS(   N4:N451,"2016", D4:D451,"Actividad Física y Deporte")</f>
        <v>1</v>
      </c>
      <c r="AF5" s="5">
        <f>COUNTIFS(   N4:N451,"2017", D4:D451,"Actividad Física y Deporte")</f>
        <v>1</v>
      </c>
      <c r="AG5" s="5">
        <f>COUNTIFS(   N4:N451,"2018", D4:D451,"Actividad Física y Deporte")</f>
        <v>3</v>
      </c>
      <c r="AH5" s="5">
        <f>COUNTIFS(   D4:D451,"Actividad Física y Deporte",G4:G451,"Sí")</f>
        <v>0</v>
      </c>
      <c r="AI5" s="5">
        <f>COUNTIFS(   D4:D451,"Actividad Física y Deporte",G4:G451,"No")</f>
        <v>7</v>
      </c>
      <c r="AJ5" s="5">
        <f>SUMIFS( E4:E451, D4:D451,"Actividad Física y Deporte",G4:G451,"Sí")</f>
        <v>0</v>
      </c>
      <c r="AK5" s="5">
        <f>SUMIFS( E4:E451, D4:D451,"Actividad Física y Deporte",G4:G451,"No")</f>
        <v>136</v>
      </c>
      <c r="AL5" s="5">
        <f>COUNTIFS(   D4:D451,"Actividad Física y Deporte",H4:H451,"Sí")</f>
        <v>3</v>
      </c>
      <c r="AM5" s="5">
        <f>COUNTIFS(   D4:D451,"Actividad Física y Deporte",I4:I451,"Sí")</f>
        <v>5</v>
      </c>
      <c r="AN5" s="5">
        <f>COUNTIFS(   D4:D451,"Actividad Física y Deporte",I4:I451,"No")</f>
        <v>2</v>
      </c>
      <c r="AO5" s="5">
        <f>SUMIFS( E4:E451, D4:D451,"Actividad Física y Deporte",I4:I451,"Sí")</f>
        <v>133</v>
      </c>
      <c r="AP5" s="5">
        <f>SUMIFS( E4:E451, D4:D451,"Actividad Física y Deporte",I4:I451,"No")</f>
        <v>3</v>
      </c>
      <c r="AQ5" s="5">
        <f>COUNTIFS(   D4:D451,"Actividad Física y Deporte",J4:J451,"Sí")</f>
        <v>7</v>
      </c>
      <c r="AR5" s="5">
        <f>COUNTIFS(   D4:D451,"Actividad Física y Deporte",K4:K451,"Sí")</f>
        <v>2</v>
      </c>
      <c r="AS5" s="5">
        <f>COUNTIFS(   D4:D451,"Actividad Física y Deporte",L4:L451,"Sí")</f>
        <v>7</v>
      </c>
      <c r="AT5" s="5">
        <f>SUMIFS( E4:E451, D4:D451,"Actividad Física y Deporte")</f>
        <v>136</v>
      </c>
      <c r="AU5" s="5">
        <f>SUMIFS( E4:E451, F4:F451,"Hombre", D4:D451,"Actividad Física y Deporte")</f>
        <v>91</v>
      </c>
      <c r="AV5" s="5">
        <f>SUMIFS( E4:E451, F4:F451,"Mujer", D4:D451,"Actividad Física y Deporte")</f>
        <v>45</v>
      </c>
      <c r="AW5" s="29">
        <f>SUMIFS( E4:E451, A4:A451,"2013", D4:D451,"Actividad Física y Deporte")</f>
        <v>0</v>
      </c>
      <c r="AX5" s="5">
        <f>SUMIFS( E4:E451, A4:A451,"2014", D4:D451,"Actividad Física y Deporte")</f>
        <v>1</v>
      </c>
      <c r="AY5" s="5">
        <f>SUMIFS( E4:E451, A4:A451,"2015", D4:D451,"Actividad Física y Deporte")</f>
        <v>40</v>
      </c>
      <c r="AZ5" s="5">
        <f>SUMIFS( E4:E451, A4:A451,"2016", D4:D451,"Actividad Física y Deporte")</f>
        <v>8</v>
      </c>
      <c r="BA5" s="5">
        <f>SUMIFS( E4:E451, A4:A451,"2017", D4:D451,"Actividad Física y Deporte")</f>
        <v>87</v>
      </c>
      <c r="BB5" s="29">
        <f>SUMIFS( E4:E451, N4:N451,"2014", D4:D451,"Actividad Física y Deporte")</f>
        <v>1</v>
      </c>
      <c r="BC5" s="5">
        <f>SUMIFS( E4:E451, N4:N451,"2015", D4:D451,"Actividad Física y Deporte")</f>
        <v>34</v>
      </c>
      <c r="BD5" s="5">
        <f>SUMIFS( E4:E451, N4:N451,"2016", D4:D451,"Actividad Física y Deporte")</f>
        <v>6</v>
      </c>
      <c r="BE5" s="5">
        <f>SUMIFS( E4:E451, N4:N451,"2017", D4:D451,"Actividad Física y Deporte")</f>
        <v>8</v>
      </c>
      <c r="BF5" s="5">
        <f>SUMIFS( E4:E451, N4:N451,"2018", D4:D451,"Actividad Física y Deporte")</f>
        <v>87</v>
      </c>
      <c r="BG5" s="23">
        <f>AVERAGEIFS( E4:E451, D4:D451,"Actividad Física y Deporte")</f>
        <v>19.428571428571427</v>
      </c>
      <c r="BH5" s="23">
        <v>0</v>
      </c>
      <c r="BI5" s="23">
        <f>AVERAGEIFS( E4:E451, A4:A451,"2014", D4:D451,"Actividad Física y Deporte")</f>
        <v>1</v>
      </c>
      <c r="BJ5" s="23">
        <f>AVERAGEIFS( E4:E451, A4:A451,"2015", D4:D451,"Actividad Física y Deporte")</f>
        <v>20</v>
      </c>
      <c r="BK5" s="23">
        <f>AVERAGEIFS( E4:E451, A4:A451,"2016", D4:D451,"Actividad Física y Deporte")</f>
        <v>8</v>
      </c>
      <c r="BL5" s="23">
        <f>AVERAGEIFS( E4:E451, A4:A451,"2017", D4:D451,"Actividad Física y Deporte")</f>
        <v>29</v>
      </c>
      <c r="BM5" s="23">
        <v>19.428571428571427</v>
      </c>
      <c r="BN5" s="23">
        <v>0</v>
      </c>
      <c r="BO5" s="23">
        <v>1</v>
      </c>
      <c r="BP5" s="23">
        <v>20</v>
      </c>
      <c r="BQ5" s="23">
        <v>8</v>
      </c>
      <c r="BR5" s="23">
        <v>29</v>
      </c>
    </row>
    <row r="6" spans="1:70" ht="15" customHeight="1" x14ac:dyDescent="0.25">
      <c r="A6">
        <v>2017</v>
      </c>
      <c r="B6" t="s">
        <v>4</v>
      </c>
      <c r="C6" t="s">
        <v>5</v>
      </c>
      <c r="D6" t="s">
        <v>7</v>
      </c>
      <c r="E6">
        <v>46</v>
      </c>
      <c r="F6" t="s">
        <v>211</v>
      </c>
      <c r="G6" t="s">
        <v>233</v>
      </c>
      <c r="H6" t="s">
        <v>234</v>
      </c>
      <c r="I6" t="s">
        <v>234</v>
      </c>
      <c r="J6" t="s">
        <v>234</v>
      </c>
      <c r="K6" t="s">
        <v>233</v>
      </c>
      <c r="L6" t="s">
        <v>234</v>
      </c>
      <c r="M6" s="14">
        <v>43178</v>
      </c>
      <c r="N6" s="14" t="str">
        <f t="shared" si="0"/>
        <v>2018</v>
      </c>
      <c r="O6" s="55" t="s">
        <v>9</v>
      </c>
      <c r="P6" s="56"/>
      <c r="Q6" s="56"/>
      <c r="R6" s="56"/>
      <c r="S6" s="56"/>
      <c r="T6" s="57"/>
      <c r="U6" s="5">
        <f>COUNTIFS(   D4:D451,"Biomedicina Regenerativa")</f>
        <v>9</v>
      </c>
      <c r="V6" s="5">
        <f>COUNTIFS(   D4:D451,"Biomedicina Regenerativa",F4:F451,"Hombre")</f>
        <v>2</v>
      </c>
      <c r="W6" s="5">
        <f>COUNTIFS(   D4:D451,"Biomedicina Regenerativa",F4:F451,"Mujer")</f>
        <v>7</v>
      </c>
      <c r="X6" s="29">
        <f>COUNTIFS(   A4:A451,"2013", D4:D451,"Biomedicina Regenerativa")</f>
        <v>0</v>
      </c>
      <c r="Y6" s="5">
        <f>COUNTIFS(   A4:A451,"2014", D4:D451,"Biomedicina Regenerativa")</f>
        <v>4</v>
      </c>
      <c r="Z6" s="5">
        <f>COUNTIFS(   A4:A451,"2015", D4:D451,"Biomedicina Regenerativa")</f>
        <v>1</v>
      </c>
      <c r="AA6" s="5">
        <f>COUNTIFS(   A4:A451,"2016", D4:D451,"Biomedicina Regenerativa")</f>
        <v>1</v>
      </c>
      <c r="AB6" s="5">
        <f>COUNTIFS(   A4:A451,"2017", D4:D451,"Biomedicina Regenerativa")</f>
        <v>3</v>
      </c>
      <c r="AC6" s="29">
        <f>COUNTIFS(   N4:N451,"2014", D4:D451,"Biomedicina Regenerativa")</f>
        <v>4</v>
      </c>
      <c r="AD6" s="5">
        <f>COUNTIFS(   N4:N451,"2015", D4:D451,"Biomedicina Regenerativa")</f>
        <v>0</v>
      </c>
      <c r="AE6" s="5">
        <f>COUNTIFS(   N4:N451,"2016", D4:D451,"Biomedicina Regenerativa")</f>
        <v>1</v>
      </c>
      <c r="AF6" s="5">
        <f>COUNTIFS(   N4:N451,"2017", D4:D451,"Biomedicina Regenerativa")</f>
        <v>3</v>
      </c>
      <c r="AG6" s="5">
        <f>COUNTIFS(   N4:N451,"2018", D4:D451,"Biomedicina Regenerativa")</f>
        <v>1</v>
      </c>
      <c r="AH6" s="5">
        <f>COUNTIFS(   D4:D451,"Biomedicina Regenerativa",G4:G451,"Sí")</f>
        <v>0</v>
      </c>
      <c r="AI6" s="5">
        <f>COUNTIFS(   D4:D451,"Biomedicina Regenerativa",G4:G451,"No")</f>
        <v>9</v>
      </c>
      <c r="AJ6" s="5">
        <f>SUMIFS( E4:E451, D4:D451,"Biomedicina Regenerativa",G4:G451,"Sí")</f>
        <v>0</v>
      </c>
      <c r="AK6" s="5">
        <f>SUMIFS( E4:E451, D4:D451,"Biomedicina Regenerativa",G4:G451,"No")</f>
        <v>52</v>
      </c>
      <c r="AL6" s="5">
        <f>COUNTIFS(   D4:D451,"Biomedicina Regenerativa",H4:H451,"Sí")</f>
        <v>1</v>
      </c>
      <c r="AM6" s="5">
        <f>COUNTIFS(   D4:D451,"Biomedicina Regenerativa",I4:I451,"Sí")</f>
        <v>0</v>
      </c>
      <c r="AN6" s="5">
        <f>COUNTIFS(   D4:D451,"Biomedicina Regenerativa",I4:I451,"No")</f>
        <v>9</v>
      </c>
      <c r="AO6" s="5">
        <f>SUMIFS( E4:E451, D4:D451,"Biomedicina Regenerativa",I4:I451,"Sí")</f>
        <v>0</v>
      </c>
      <c r="AP6" s="5">
        <f>SUMIFS( E4:E451, D4:D451,"Biomedicina Regenerativa",I4:I451,"No")</f>
        <v>52</v>
      </c>
      <c r="AQ6" s="5">
        <f>COUNTIFS(   D4:D451,"Biomedicina Regenerativa",J4:J451,"Sí")</f>
        <v>9</v>
      </c>
      <c r="AR6" s="5">
        <f>COUNTIFS(   D4:D451,"Biomedicina Regenerativa",K4:K451,"Sí")</f>
        <v>4</v>
      </c>
      <c r="AS6" s="5">
        <f>COUNTIFS(   D4:D451,"Biomedicina Regenerativa",L4:L451,"Sí")</f>
        <v>9</v>
      </c>
      <c r="AT6" s="5">
        <f>SUMIFS( E4:E451, D4:D451,"Biomedicina Regenerativa")</f>
        <v>52</v>
      </c>
      <c r="AU6" s="5">
        <f>SUMIFS( E4:E451, F4:F451,"Hombre", D4:D451,"Biomedicina Regenerativa")</f>
        <v>6</v>
      </c>
      <c r="AV6" s="5">
        <f>SUMIFS( E4:E451, F4:F451,"Mujer", D4:D451,"Biomedicina Regenerativa")</f>
        <v>46</v>
      </c>
      <c r="AW6" s="29">
        <f>SUMIFS( E4:E451, A4:A451,"2013", D4:D451,"Biomedicina Regenerativa")</f>
        <v>0</v>
      </c>
      <c r="AX6" s="5">
        <f>SUMIFS( E4:E451, A4:A451,"2014", D4:D451,"Biomedicina Regenerativa")</f>
        <v>37</v>
      </c>
      <c r="AY6" s="5">
        <f>SUMIFS( E4:E451, A4:A451,"2015", D4:D451,"Biomedicina Regenerativa")</f>
        <v>3</v>
      </c>
      <c r="AZ6" s="5">
        <f>SUMIFS( E4:E451, A4:A451,"2016", D4:D451,"Biomedicina Regenerativa")</f>
        <v>4</v>
      </c>
      <c r="BA6" s="5">
        <f>SUMIFS( E4:E451, A4:A451,"2017", D4:D451,"Biomedicina Regenerativa")</f>
        <v>8</v>
      </c>
      <c r="BB6" s="29">
        <f>SUMIFS( E4:E451, N4:N451,"2014", D4:D451,"Biomedicina Regenerativa")</f>
        <v>37</v>
      </c>
      <c r="BC6" s="5">
        <f>SUMIFS( E4:E451, N4:N451,"2015", D4:D451,"Biomedicina Regenerativa")</f>
        <v>0</v>
      </c>
      <c r="BD6" s="5">
        <f>SUMIFS( E4:E451, N4:N451,"2016", D4:D451,"Biomedicina Regenerativa")</f>
        <v>3</v>
      </c>
      <c r="BE6" s="5">
        <f>SUMIFS( E4:E451, N4:N451,"2017", D4:D451,"Biomedicina Regenerativa")</f>
        <v>8</v>
      </c>
      <c r="BF6" s="5">
        <f>SUMIFS( E4:E451, N4:N451,"2018", D4:D451,"Biomedicina Regenerativa")</f>
        <v>4</v>
      </c>
      <c r="BG6" s="23">
        <f>AVERAGEIFS( E4:E451, D4:D451,"Biomedicina Regenerativa")</f>
        <v>5.7777777777777777</v>
      </c>
      <c r="BH6" s="23">
        <v>0</v>
      </c>
      <c r="BI6" s="23">
        <f>AVERAGEIFS( E4:E451, A4:A451,"2014", D4:D451,"Biomedicina Regenerativa")</f>
        <v>9.25</v>
      </c>
      <c r="BJ6" s="23">
        <f>AVERAGEIFS( E4:E451, A4:A451,"2015", D4:D451,"Biomedicina Regenerativa")</f>
        <v>3</v>
      </c>
      <c r="BK6" s="23">
        <f>AVERAGEIFS( E4:E451, A4:A451,"2016", D4:D451,"Biomedicina Regenerativa")</f>
        <v>4</v>
      </c>
      <c r="BL6" s="23">
        <f>AVERAGEIFS( E4:E451, A4:A451,"2017", D4:D451,"Biomedicina Regenerativa")</f>
        <v>2.6666666666666665</v>
      </c>
      <c r="BM6" s="23">
        <v>5.7777777777777777</v>
      </c>
      <c r="BN6" s="23">
        <v>0</v>
      </c>
      <c r="BO6" s="23">
        <v>9.25</v>
      </c>
      <c r="BP6" s="23">
        <v>3</v>
      </c>
      <c r="BQ6" s="23">
        <v>4</v>
      </c>
      <c r="BR6" s="23">
        <v>2.6666666666666665</v>
      </c>
    </row>
    <row r="7" spans="1:70" ht="15" customHeight="1" x14ac:dyDescent="0.25">
      <c r="A7">
        <v>2017</v>
      </c>
      <c r="B7" t="s">
        <v>4</v>
      </c>
      <c r="C7" t="s">
        <v>5</v>
      </c>
      <c r="D7" t="s">
        <v>8</v>
      </c>
      <c r="E7" s="17">
        <v>5</v>
      </c>
      <c r="F7" t="s">
        <v>215</v>
      </c>
      <c r="G7" t="s">
        <v>233</v>
      </c>
      <c r="H7" t="s">
        <v>234</v>
      </c>
      <c r="I7" t="s">
        <v>234</v>
      </c>
      <c r="J7" t="s">
        <v>234</v>
      </c>
      <c r="K7" t="s">
        <v>234</v>
      </c>
      <c r="L7" t="s">
        <v>234</v>
      </c>
      <c r="M7" s="14">
        <v>43171</v>
      </c>
      <c r="N7" s="14" t="str">
        <f t="shared" si="0"/>
        <v>2018</v>
      </c>
      <c r="O7" s="55" t="s">
        <v>11</v>
      </c>
      <c r="P7" s="56"/>
      <c r="Q7" s="56"/>
      <c r="R7" s="56"/>
      <c r="S7" s="56"/>
      <c r="T7" s="57"/>
      <c r="U7" s="5">
        <f>COUNTIFS( D4:D451,"Biotecnología en Biomedicina")</f>
        <v>1</v>
      </c>
      <c r="V7" s="5">
        <f>COUNTIFS( D4:D451,"Biotecnología en Biomedicina",F4:F451,"Hombre")</f>
        <v>1</v>
      </c>
      <c r="W7" s="5">
        <f>COUNTIFS( D4:D451,"Biotecnología en Biomedicina",F4:F451,"Mujer")</f>
        <v>0</v>
      </c>
      <c r="X7" s="29">
        <f>COUNTIFS(   A4:A451,"2013", D4:D451,"Biotecnología en Biomedicina")</f>
        <v>0</v>
      </c>
      <c r="Y7" s="5">
        <f>COUNTIFS(   A4:A451,"2014", D4:D451,"Biotecnología en Biomedicina")</f>
        <v>0</v>
      </c>
      <c r="Z7" s="5">
        <f>COUNTIFS(   A4:A451,"2015", D4:D451,"Biotecnología en Biomedicina")</f>
        <v>0</v>
      </c>
      <c r="AA7" s="5">
        <f>COUNTIFS(   A4:A451,"2016", D4:D451,"Biotecnología en Biomedicina")</f>
        <v>0</v>
      </c>
      <c r="AB7" s="5">
        <f>COUNTIFS(   A4:A451,"2017", D4:D451,"Biotecnología en Biomedicina")</f>
        <v>1</v>
      </c>
      <c r="AC7" s="29">
        <f>COUNTIFS(   N4:N451,"2014", D4:D451,"Biotecnología en Biomedicina")</f>
        <v>0</v>
      </c>
      <c r="AD7" s="5">
        <f>COUNTIFS(   N4:N451,"2015", D4:D451,"Biotecnología en Biomedicina")</f>
        <v>0</v>
      </c>
      <c r="AE7" s="5">
        <f>COUNTIFS(   N4:N451,"2016", D4:D451,"Biotecnología en Biomedicina")</f>
        <v>0</v>
      </c>
      <c r="AF7" s="5">
        <f>COUNTIFS(   N4:N451,"2017", D4:D451,"Biotecnología en Biomedicina")</f>
        <v>0</v>
      </c>
      <c r="AG7" s="5">
        <f>COUNTIFS(   N4:N451,"2018", D4:D451,"Biotecnología en Biomedicina")</f>
        <v>1</v>
      </c>
      <c r="AH7" s="5">
        <f>COUNTIFS( D4:D451,"Biotecnología en Biomedicina",G4:G451,"Sí")</f>
        <v>0</v>
      </c>
      <c r="AI7" s="5">
        <f>COUNTIFS( D4:D451,"Biotecnología en Biomedicina",G4:G451,"No")</f>
        <v>1</v>
      </c>
      <c r="AJ7" s="5">
        <f>SUMIFS(E4:E451,D4:D451,"Biotecnología en Biomedicina",G4:G451,"Sí")</f>
        <v>0</v>
      </c>
      <c r="AK7" s="5">
        <f>SUMIFS(E4:E451,D4:D451,"Biotecnología en Biomedicina",G4:G451,"No")</f>
        <v>6</v>
      </c>
      <c r="AL7" s="5">
        <f>COUNTIFS( D4:D451,"Biotecnología en Biomedicina",H4:H451,"Sí")</f>
        <v>0</v>
      </c>
      <c r="AM7" s="5">
        <f>COUNTIFS( D4:D451,"Biotecnología en Biomedicina",I4:I451,"Sí")</f>
        <v>0</v>
      </c>
      <c r="AN7" s="5">
        <f>COUNTIFS( D4:D451,"Biotecnología en Biomedicina",I4:I451,"No")</f>
        <v>1</v>
      </c>
      <c r="AO7" s="5">
        <f>SUMIFS(E4:E451,D4:D451,"Biotecnología en Biomedicina",I4:I451,"Sí")</f>
        <v>0</v>
      </c>
      <c r="AP7" s="5">
        <f>SUMIFS(E4:E451,D4:D451,"Biotecnología en Biomedicina",I4:I451,"No")</f>
        <v>6</v>
      </c>
      <c r="AQ7" s="5">
        <f>COUNTIFS( D4:D451,"Biotecnología en Biomedicina",J4:J451,"Sí")</f>
        <v>1</v>
      </c>
      <c r="AR7" s="5">
        <f>COUNTIFS( D4:D451,"Biotecnología en Biomedicina",K4:K451,"Sí")</f>
        <v>1</v>
      </c>
      <c r="AS7" s="5">
        <f>COUNTIFS( D4:D451,"Biotecnología en Biomedicina",L4:L451,"Sí")</f>
        <v>1</v>
      </c>
      <c r="AT7" s="5">
        <f>SUMIFS(E4:E451,D4:D451,"Biotecnología en Biomedicina")</f>
        <v>6</v>
      </c>
      <c r="AU7" s="5">
        <f>SUMIFS( E4:E451, F4:F451,"Hombre", D4:D451,"Biotecnología en Biomedicina")</f>
        <v>6</v>
      </c>
      <c r="AV7" s="5">
        <f>SUMIFS( E4:E451, F4:F451,"Mujer", D4:D451,"Biotecnología en Biomedicina")</f>
        <v>0</v>
      </c>
      <c r="AW7" s="29">
        <f>SUMIFS( E4:E451, A4:A451,"2013", D4:D451,"Biotecnología en Biomedicina")</f>
        <v>0</v>
      </c>
      <c r="AX7" s="5">
        <f>SUMIFS( E4:E451, A4:A451,"2014", D4:D451,"Biotecnología en Biomedicina")</f>
        <v>0</v>
      </c>
      <c r="AY7" s="5">
        <f>SUMIFS( E4:E451, A4:A451,"2015", D4:D451,"Biotecnología en Biomedicina")</f>
        <v>0</v>
      </c>
      <c r="AZ7" s="5">
        <f>SUMIFS( E4:E451, A4:A451,"2016", D4:D451,"Biotecnología en Biomedicina")</f>
        <v>0</v>
      </c>
      <c r="BA7" s="5">
        <f>SUMIFS( E4:E451, A4:A451,"2017", D4:D451,"Biotecnología en Biomedicina")</f>
        <v>6</v>
      </c>
      <c r="BB7" s="29">
        <f>SUMIFS( E4:E451, N4:N451,"2014", D4:D451,"Biotecnología en Biomedicina")</f>
        <v>0</v>
      </c>
      <c r="BC7" s="5">
        <f>SUMIFS( E4:E451, N4:N451,"2015", D4:D451,"Biotecnología en Biomedicina")</f>
        <v>0</v>
      </c>
      <c r="BD7" s="5">
        <f>SUMIFS( E4:E451, N4:N451,"2016", D4:D451,"Biotecnología en Biomedicina")</f>
        <v>0</v>
      </c>
      <c r="BE7" s="5">
        <f>SUMIFS( E4:E451, N4:N451,"2017", D4:D451,"Biotecnología en Biomedicina")</f>
        <v>0</v>
      </c>
      <c r="BF7" s="5">
        <f>SUMIFS( E4:E451, N4:N451,"2018", D4:D451,"Biotecnología en Biomedicina")</f>
        <v>6</v>
      </c>
      <c r="BG7" s="23">
        <f>AVERAGEIFS(E4:E451,D4:D451,"Biotecnología en Biomedicina")</f>
        <v>6</v>
      </c>
      <c r="BH7" s="23">
        <v>0</v>
      </c>
      <c r="BI7" s="23">
        <v>0</v>
      </c>
      <c r="BJ7" s="23">
        <v>0</v>
      </c>
      <c r="BK7" s="23">
        <v>0</v>
      </c>
      <c r="BL7" s="23">
        <f>AVERAGEIFS( E4:E451, A4:A451,"2017", D4:D451,"Biotecnología en Biomedicina")</f>
        <v>6</v>
      </c>
      <c r="BM7" s="23">
        <v>6</v>
      </c>
      <c r="BN7" s="23">
        <v>0</v>
      </c>
      <c r="BO7" s="23">
        <v>0</v>
      </c>
      <c r="BP7" s="23">
        <v>0</v>
      </c>
      <c r="BQ7" s="23">
        <v>0</v>
      </c>
      <c r="BR7" s="23">
        <v>6</v>
      </c>
    </row>
    <row r="8" spans="1:70" ht="15" customHeight="1" x14ac:dyDescent="0.25">
      <c r="A8">
        <v>2017</v>
      </c>
      <c r="B8" t="s">
        <v>4</v>
      </c>
      <c r="C8" t="s">
        <v>5</v>
      </c>
      <c r="D8" t="s">
        <v>7</v>
      </c>
      <c r="E8" s="17">
        <v>39</v>
      </c>
      <c r="F8" t="s">
        <v>215</v>
      </c>
      <c r="G8" t="s">
        <v>233</v>
      </c>
      <c r="H8" t="s">
        <v>234</v>
      </c>
      <c r="I8" t="s">
        <v>234</v>
      </c>
      <c r="J8" t="s">
        <v>234</v>
      </c>
      <c r="K8" t="s">
        <v>234</v>
      </c>
      <c r="L8" t="s">
        <v>234</v>
      </c>
      <c r="M8" s="14">
        <v>43168</v>
      </c>
      <c r="N8" s="14" t="str">
        <f t="shared" si="0"/>
        <v>2018</v>
      </c>
      <c r="O8" s="55" t="s">
        <v>6</v>
      </c>
      <c r="P8" s="56"/>
      <c r="Q8" s="56"/>
      <c r="R8" s="56"/>
      <c r="S8" s="56"/>
      <c r="T8" s="57"/>
      <c r="U8" s="5">
        <f>COUNTIFS(   D4:D451,"Evolución Humana. Antropología Física y Forense")</f>
        <v>2</v>
      </c>
      <c r="V8" s="5">
        <f>COUNTIFS(   D4:D451,"Evolución Humana. Antropología Física y Forense",F4:F451,"Hombre")</f>
        <v>1</v>
      </c>
      <c r="W8" s="5">
        <f>COUNTIFS(   D4:D451,"Evolución Humana. Antropología Física y Forense",F4:F451,"Mujer")</f>
        <v>1</v>
      </c>
      <c r="X8" s="29">
        <f>COUNTIFS(   A4:A451,"2013", D4:D451,"Evolución Humana. Antropología Física y Forense")</f>
        <v>0</v>
      </c>
      <c r="Y8" s="5">
        <f>COUNTIFS(   A4:A451,"2014", D4:D451,"Evolución Humana. Antropología Física y Forense")</f>
        <v>0</v>
      </c>
      <c r="Z8" s="5">
        <f>COUNTIFS(   A4:A451,"2015", D4:D451,"Evolución Humana. Antropología Física y Forense")</f>
        <v>1</v>
      </c>
      <c r="AA8" s="5">
        <f>COUNTIFS(   A4:A451,"2016", D4:D451,"Evolución Humana. Antropología Física y Forense")</f>
        <v>0</v>
      </c>
      <c r="AB8" s="5">
        <f>COUNTIFS(   A4:A451,"2017", D4:D451,"Evolución Humana. Antropología Física y Forense")</f>
        <v>1</v>
      </c>
      <c r="AC8" s="29">
        <f>COUNTIFS(   N4:N451,"2014", D4:D451,"Evolución Humana. Antropología Física y Forense")</f>
        <v>0</v>
      </c>
      <c r="AD8" s="5">
        <f>COUNTIFS(   N4:N451,"2015", D4:D451,"Evolución Humana. Antropología Física y Forense")</f>
        <v>0</v>
      </c>
      <c r="AE8" s="5">
        <f>COUNTIFS(   N4:N451,"2016", D4:D451,"Evolución Humana. Antropología Física y Forense")</f>
        <v>1</v>
      </c>
      <c r="AF8" s="5">
        <f>COUNTIFS(   N4:N451,"2017", D4:D451,"Evolución Humana. Antropología Física y Forense")</f>
        <v>0</v>
      </c>
      <c r="AG8" s="5">
        <f>COUNTIFS(   N4:N451,"2018", D4:D451,"Evolución Humana. Antropología Física y Forense")</f>
        <v>1</v>
      </c>
      <c r="AH8" s="5">
        <f>COUNTIFS(   D4:D451,"Evolución Humana. Antropología Física y Forense",G4:G451,"Sí")</f>
        <v>0</v>
      </c>
      <c r="AI8" s="5">
        <f>COUNTIFS(   D4:D451,"Evolución Humana. Antropología Física y Forense",G4:G451,"No")</f>
        <v>2</v>
      </c>
      <c r="AJ8" s="5">
        <f>SUMIFS( E4:E451, D4:D451,"Evolución Humana. Antropología Física y Forense",G4:G451,"Sí")</f>
        <v>0</v>
      </c>
      <c r="AK8" s="5">
        <f>SUMIFS( E4:E451, D4:D451,"Evolución Humana. Antropología Física y Forense",G4:G451,"No")</f>
        <v>23</v>
      </c>
      <c r="AL8" s="5">
        <f>COUNTIFS(   D4:D451,"Evolución Humana. Antropología Física y Forense",H4:H451,"Sí")</f>
        <v>2</v>
      </c>
      <c r="AM8" s="5">
        <f>COUNTIFS(   D4:D451,"Evolución Humana. Antropología Física y Forense",I4:I451,"Sí")</f>
        <v>2</v>
      </c>
      <c r="AN8" s="5">
        <f>COUNTIFS(   D4:D451,"Evolución Humana. Antropología Física y Forense",I4:I451,"No")</f>
        <v>0</v>
      </c>
      <c r="AO8" s="5">
        <f>SUMIFS( E4:E451, D4:D451,"Evolución Humana. Antropología Física y Forense",I4:I451,"Sí")</f>
        <v>23</v>
      </c>
      <c r="AP8" s="5">
        <f>SUMIFS( E4:E451, D4:D451,"Evolución Humana. Antropología Física y Forense",I4:I451,"No")</f>
        <v>0</v>
      </c>
      <c r="AQ8" s="5">
        <f>COUNTIFS(   D4:D451,"Evolución Humana. Antropología Física y Forense",J4:J451,"Sí")</f>
        <v>1</v>
      </c>
      <c r="AR8" s="5">
        <f>COUNTIFS(   D4:D451,"Evolución Humana. Antropología Física y Forense",K4:K451,"Sí")</f>
        <v>0</v>
      </c>
      <c r="AS8" s="5">
        <f>COUNTIFS(   D4:D451,"Evolución Humana. Antropología Física y Forense",L4:L451,"Sí")</f>
        <v>1</v>
      </c>
      <c r="AT8" s="5">
        <f>SUMIFS( E4:E451, D4:D451,"Evolución Humana. Antropología Física y Forense")</f>
        <v>23</v>
      </c>
      <c r="AU8" s="5">
        <f>SUMIFS( E4:E451, F4:F451,"Hombre", D4:D451,"Evolución Humana. Antropología Física y Forense")</f>
        <v>14</v>
      </c>
      <c r="AV8" s="5">
        <f>SUMIFS( E4:E451, F4:F451,"Mujer", D4:D451,"Evolución Humana. Antropología Física y Forense")</f>
        <v>9</v>
      </c>
      <c r="AW8" s="29">
        <f>SUMIFS( E4:E451, A4:A451,"2013", D4:D451,"Evolución Humana. Antropología Física y Forense")</f>
        <v>0</v>
      </c>
      <c r="AX8" s="5">
        <f>SUMIFS( E4:E451, A4:A451,"2014", D4:D451,"Evolución Humana. Antropología Física y Forense")</f>
        <v>0</v>
      </c>
      <c r="AY8" s="5">
        <f>SUMIFS( E4:E451, A4:A451,"2015", D4:D451,"Evolución Humana. Antropología Física y Forense")</f>
        <v>14</v>
      </c>
      <c r="AZ8" s="5">
        <f>SUMIFS( E4:E451, A4:A451,"2016", D4:D451,"Evolución Humana. Antropología Física y Forense")</f>
        <v>0</v>
      </c>
      <c r="BA8" s="5">
        <f>SUMIFS( E4:E451, A4:A451,"2017", D4:D451,"Evolución Humana. Antropología Física y Forense")</f>
        <v>9</v>
      </c>
      <c r="BB8" s="29">
        <f>SUMIFS( E4:E451, N4:N451,"2014", D4:D451,"Evolución Humana. Antropología Física y Forense")</f>
        <v>0</v>
      </c>
      <c r="BC8" s="5">
        <f>SUMIFS( E4:E451, N4:N451,"2015", D4:D451,"Evolución Humana. Antropología Física y Forense")</f>
        <v>0</v>
      </c>
      <c r="BD8" s="5">
        <f>SUMIFS( E4:E451, N4:N451,"2016", D4:D451,"Evolución Humana. Antropología Física y Forense")</f>
        <v>14</v>
      </c>
      <c r="BE8" s="5">
        <f>SUMIFS( E4:E451, N4:N451,"2017", D4:D451,"Evolución Humana. Antropología Física y Forense")</f>
        <v>0</v>
      </c>
      <c r="BF8" s="5">
        <f>SUMIFS( E4:E451, N4:N451,"2018", D4:D451,"Evolución Humana. Antropología Física y Forense")</f>
        <v>9</v>
      </c>
      <c r="BG8" s="23">
        <f>AVERAGEIFS( E4:E451, D4:D451,"Evolución Humana. Antropología Física y Forense")</f>
        <v>11.5</v>
      </c>
      <c r="BH8" s="23">
        <v>0</v>
      </c>
      <c r="BI8" s="23">
        <v>0</v>
      </c>
      <c r="BJ8" s="23">
        <f>AVERAGEIFS( E4:E451, A4:A451,"2015", D4:D451,"Evolución Humana. Antropología Física y Forense")</f>
        <v>14</v>
      </c>
      <c r="BK8" s="23">
        <v>0</v>
      </c>
      <c r="BL8" s="23">
        <f>AVERAGEIFS( E4:E451, A4:A451,"2017", D4:D451,"Evolución Humana. Antropología Física y Forense")</f>
        <v>9</v>
      </c>
      <c r="BM8" s="23">
        <v>11.5</v>
      </c>
      <c r="BN8" s="23">
        <v>0</v>
      </c>
      <c r="BO8" s="23">
        <v>0</v>
      </c>
      <c r="BP8" s="23">
        <v>14</v>
      </c>
      <c r="BQ8" s="23">
        <v>0</v>
      </c>
      <c r="BR8" s="23">
        <v>9</v>
      </c>
    </row>
    <row r="9" spans="1:70" ht="15" customHeight="1" x14ac:dyDescent="0.25">
      <c r="A9">
        <v>2017</v>
      </c>
      <c r="B9" t="s">
        <v>4</v>
      </c>
      <c r="C9" t="s">
        <v>5</v>
      </c>
      <c r="D9" t="s">
        <v>9</v>
      </c>
      <c r="E9" s="17">
        <v>4</v>
      </c>
      <c r="F9" t="s">
        <v>211</v>
      </c>
      <c r="G9" t="s">
        <v>233</v>
      </c>
      <c r="H9" t="s">
        <v>233</v>
      </c>
      <c r="I9" t="s">
        <v>233</v>
      </c>
      <c r="J9" t="s">
        <v>234</v>
      </c>
      <c r="K9" t="s">
        <v>234</v>
      </c>
      <c r="L9" t="s">
        <v>234</v>
      </c>
      <c r="M9" s="14">
        <v>43158</v>
      </c>
      <c r="N9" s="14" t="str">
        <f t="shared" si="0"/>
        <v>2018</v>
      </c>
      <c r="O9" s="55" t="s">
        <v>12</v>
      </c>
      <c r="P9" s="56"/>
      <c r="Q9" s="56"/>
      <c r="R9" s="56"/>
      <c r="S9" s="56"/>
      <c r="T9" s="57"/>
      <c r="U9" s="5">
        <f>COUNTIFS(   D4:D451,"Ingeniería Tisular")</f>
        <v>3</v>
      </c>
      <c r="V9" s="5">
        <f>COUNTIFS(   D4:D451,"Ingeniería Tisular",F4:F451,"Hombre")</f>
        <v>2</v>
      </c>
      <c r="W9" s="5">
        <f>COUNTIFS(   D4:D451,"Ingeniería Tisular",F4:F451,"Mujer")</f>
        <v>1</v>
      </c>
      <c r="X9" s="29">
        <f>COUNTIFS(   A4:A451,"2013", D4:D451,"Ingeniería Tisular")</f>
        <v>0</v>
      </c>
      <c r="Y9" s="5">
        <f>COUNTIFS(   A4:A451,"2014", D4:D451,"Ingeniería Tisular")</f>
        <v>0</v>
      </c>
      <c r="Z9" s="5">
        <f>COUNTIFS(   A4:A451,"2015", D4:D451,"Ingeniería Tisular")</f>
        <v>0</v>
      </c>
      <c r="AA9" s="5">
        <f>COUNTIFS(   A4:A451,"2016", D4:D451,"Ingeniería Tisular")</f>
        <v>3</v>
      </c>
      <c r="AB9" s="5">
        <f>COUNTIFS(   A4:A451,"2017", D4:D451,"Ingeniería Tisular")</f>
        <v>0</v>
      </c>
      <c r="AC9" s="29">
        <f>COUNTIFS(   N4:N451,"2014", D4:D451,"Ingeniería Tisular")</f>
        <v>0</v>
      </c>
      <c r="AD9" s="5">
        <f>COUNTIFS(   N4:N451,"2015", D4:D451,"Ingeniería Tisular")</f>
        <v>0</v>
      </c>
      <c r="AE9" s="5">
        <f>COUNTIFS(   N4:N451,"2016", D4:D451,"Ingeniería Tisular")</f>
        <v>0</v>
      </c>
      <c r="AF9" s="5">
        <f>COUNTIFS(   N4:N451,"2017", D4:D451,"Ingeniería Tisular")</f>
        <v>3</v>
      </c>
      <c r="AG9" s="5">
        <f>COUNTIFS(   N4:N451,"2018", D4:D451,"Ingeniería Tisular")</f>
        <v>0</v>
      </c>
      <c r="AH9" s="5">
        <f>COUNTIFS(   D4:D451,"Ingeniería Tisular",G4:G451,"Sí")</f>
        <v>0</v>
      </c>
      <c r="AI9" s="5">
        <f>COUNTIFS(   D4:D451,"Ingeniería Tisular",G4:G451,"No")</f>
        <v>3</v>
      </c>
      <c r="AJ9" s="5">
        <f>SUMIFS( E4:E451, D4:D451,"Ingeniería Tisular",G4:G451,"Sí")</f>
        <v>0</v>
      </c>
      <c r="AK9" s="5">
        <f>SUMIFS( E4:E451, D4:D451,"Ingeniería Tisular",G4:G451,"No")</f>
        <v>34</v>
      </c>
      <c r="AL9" s="5">
        <f>COUNTIFS(   D4:D451,"Ingeniería Tisular",H4:H451,"Sí")</f>
        <v>1</v>
      </c>
      <c r="AM9" s="5">
        <f>COUNTIFS(   D4:D451,"Ingeniería Tisular",I4:I451,"Sí")</f>
        <v>1</v>
      </c>
      <c r="AN9" s="5">
        <f>COUNTIFS(   D4:D451,"Ingeniería Tisular",I4:I451,"No")</f>
        <v>2</v>
      </c>
      <c r="AO9" s="5">
        <f>SUMIFS( E4:E451, D4:D451,"Ingeniería Tisular",I4:I451,"Sí")</f>
        <v>18</v>
      </c>
      <c r="AP9" s="5">
        <f>SUMIFS( E4:E451, D4:D451,"Ingeniería Tisular",I4:I451,"No")</f>
        <v>16</v>
      </c>
      <c r="AQ9" s="5">
        <f>COUNTIFS(   D4:D451,"Ingeniería Tisular",J4:J451,"Sí")</f>
        <v>3</v>
      </c>
      <c r="AR9" s="5">
        <f>COUNTIFS(   D4:D451,"Ingeniería Tisular",K4:K451,"Sí")</f>
        <v>3</v>
      </c>
      <c r="AS9" s="5">
        <f>COUNTIFS(   D4:D451,"Ingeniería Tisular",L4:L451,"Sí")</f>
        <v>3</v>
      </c>
      <c r="AT9" s="5">
        <f>SUMIFS( E4:E451, D4:D451,"Ingeniería Tisular")</f>
        <v>34</v>
      </c>
      <c r="AU9" s="5">
        <f>SUMIFS( E4:E451, F4:F451,"Hombre", D4:D451,"Ingeniería Tisular")</f>
        <v>30</v>
      </c>
      <c r="AV9" s="5">
        <f>SUMIFS( E4:E451, F4:F451,"Mujer", D4:D451,"Ingeniería Tisular")</f>
        <v>4</v>
      </c>
      <c r="AW9" s="29">
        <f>SUMIFS( E4:E451, A4:A451,"2013", D4:D451,"Ingeniería Tisular")</f>
        <v>0</v>
      </c>
      <c r="AX9" s="5">
        <f>SUMIFS( E4:E451, A4:A451,"2014", D4:D451,"Ingeniería Tisular")</f>
        <v>0</v>
      </c>
      <c r="AY9" s="5">
        <f>SUMIFS( E4:E451, A4:A451,"2015", D4:D451,"Ingeniería Tisular")</f>
        <v>0</v>
      </c>
      <c r="AZ9" s="5">
        <f>SUMIFS( E4:E451, A4:A451,"2016", D4:D451,"Ingeniería Tisular")</f>
        <v>34</v>
      </c>
      <c r="BA9" s="5">
        <f>SUMIFS( E4:E451, A4:A451,"2017", D4:D451,"Ingeniería Tisular")</f>
        <v>0</v>
      </c>
      <c r="BB9" s="29">
        <f>SUMIFS( E4:E451, N4:N451,"2014", D4:D451,"Ingeniería Tisular")</f>
        <v>0</v>
      </c>
      <c r="BC9" s="5">
        <f>SUMIFS( E4:E451, N4:N451,"2015", D4:D451,"Ingeniería Tisular")</f>
        <v>0</v>
      </c>
      <c r="BD9" s="5">
        <f>SUMIFS( E4:E451, N4:N451,"2016", D4:D451,"Ingeniería Tisular")</f>
        <v>0</v>
      </c>
      <c r="BE9" s="5">
        <f>SUMIFS( E4:E451, N4:N451,"2017", D4:D451,"Ingeniería Tisular")</f>
        <v>34</v>
      </c>
      <c r="BF9" s="5">
        <f>SUMIFS( E4:E451, N4:N451,"2018", D4:D451,"Ingeniería Tisular")</f>
        <v>0</v>
      </c>
      <c r="BG9" s="23">
        <f>AVERAGEIFS( E4:E451, D4:D451,"Ingeniería Tisular")</f>
        <v>11.333333333333334</v>
      </c>
      <c r="BH9" s="23">
        <v>0</v>
      </c>
      <c r="BI9" s="23">
        <v>0</v>
      </c>
      <c r="BJ9" s="23">
        <v>0</v>
      </c>
      <c r="BK9" s="23">
        <f>AVERAGEIFS( E4:E451, A4:A451,"2016", D4:D451,"Ingeniería Tisular")</f>
        <v>11.333333333333334</v>
      </c>
      <c r="BL9" s="23">
        <v>0</v>
      </c>
      <c r="BM9" s="23">
        <v>11.333333333333334</v>
      </c>
      <c r="BN9" s="23">
        <v>0</v>
      </c>
      <c r="BO9" s="23">
        <v>0</v>
      </c>
      <c r="BP9" s="23">
        <v>0</v>
      </c>
      <c r="BQ9" s="23">
        <v>11.333333333333334</v>
      </c>
      <c r="BR9" s="23">
        <v>0</v>
      </c>
    </row>
    <row r="10" spans="1:70" ht="15" customHeight="1" x14ac:dyDescent="0.25">
      <c r="A10">
        <v>2017</v>
      </c>
      <c r="B10" t="s">
        <v>4</v>
      </c>
      <c r="C10" t="s">
        <v>5</v>
      </c>
      <c r="D10" t="s">
        <v>10</v>
      </c>
      <c r="E10">
        <v>7</v>
      </c>
      <c r="F10" t="s">
        <v>215</v>
      </c>
      <c r="G10" t="s">
        <v>233</v>
      </c>
      <c r="H10" t="s">
        <v>233</v>
      </c>
      <c r="I10" t="s">
        <v>233</v>
      </c>
      <c r="J10" t="s">
        <v>234</v>
      </c>
      <c r="K10" t="s">
        <v>234</v>
      </c>
      <c r="L10" t="s">
        <v>234</v>
      </c>
      <c r="M10" s="14">
        <v>43154</v>
      </c>
      <c r="N10" s="14" t="str">
        <f t="shared" si="0"/>
        <v>2018</v>
      </c>
      <c r="O10" s="55" t="s">
        <v>10</v>
      </c>
      <c r="P10" s="56"/>
      <c r="Q10" s="56"/>
      <c r="R10" s="56"/>
      <c r="S10" s="56"/>
      <c r="T10" s="57"/>
      <c r="U10" s="5">
        <f>COUNTIFS(   D4:D451,"Inmunología")</f>
        <v>9</v>
      </c>
      <c r="V10" s="5">
        <f>COUNTIFS(   D4:D451,"Inmunología",F4:F451,"Hombre")</f>
        <v>3</v>
      </c>
      <c r="W10" s="5">
        <f>COUNTIFS(   D4:D451,"Inmunología",F4:F451,"Mujer")</f>
        <v>6</v>
      </c>
      <c r="X10" s="29">
        <f>COUNTIFS(   A4:A451,"2013", D4:D451,"Inmunología")</f>
        <v>0</v>
      </c>
      <c r="Y10" s="5">
        <f>COUNTIFS(   A4:A451,"2014", D4:D451,"Inmunología")</f>
        <v>0</v>
      </c>
      <c r="Z10" s="5">
        <f>COUNTIFS(   A4:A451,"2015", D4:D451,"Inmunología")</f>
        <v>1</v>
      </c>
      <c r="AA10" s="5">
        <f>COUNTIFS(   A4:A451,"2016", D4:D451,"Inmunología")</f>
        <v>4</v>
      </c>
      <c r="AB10" s="5">
        <f>COUNTIFS(   A4:A451,"2017", D4:D451,"Inmunología")</f>
        <v>4</v>
      </c>
      <c r="AC10" s="29">
        <f>COUNTIFS(   N4:N451,"2014", D4:D451,"Inmunología")</f>
        <v>0</v>
      </c>
      <c r="AD10" s="5">
        <f>COUNTIFS(   N4:N451,"2015", D4:D451,"Inmunología")</f>
        <v>0</v>
      </c>
      <c r="AE10" s="5">
        <f>COUNTIFS(   N4:N451,"2016", D4:D451,"Inmunología")</f>
        <v>2</v>
      </c>
      <c r="AF10" s="5">
        <f>COUNTIFS(   N4:N451,"2017", D4:D451,"Inmunología")</f>
        <v>6</v>
      </c>
      <c r="AG10" s="5">
        <f>COUNTIFS(   N4:N451,"2018", D4:D451,"Inmunología")</f>
        <v>1</v>
      </c>
      <c r="AH10" s="5">
        <f>COUNTIFS(   D4:D451,"Inmunología",G4:G451,"Sí")</f>
        <v>0</v>
      </c>
      <c r="AI10" s="5">
        <f>COUNTIFS(   D4:D451,"Inmunología",G4:G451,"No")</f>
        <v>9</v>
      </c>
      <c r="AJ10" s="5">
        <f>SUMIFS( E4:E451, D4:D451,"Inmunología",G4:G451,"Sí")</f>
        <v>0</v>
      </c>
      <c r="AK10" s="5">
        <f>SUMIFS( E4:E451, D4:D451,"Inmunología",G4:G451,"No")</f>
        <v>79</v>
      </c>
      <c r="AL10" s="5">
        <f>COUNTIFS(   D4:D451,"Inmunología",H4:H451,"Sí")</f>
        <v>0</v>
      </c>
      <c r="AM10" s="5">
        <f>COUNTIFS(   D4:D451,"Inmunología",I4:I451,"Sí")</f>
        <v>4</v>
      </c>
      <c r="AN10" s="5">
        <f>COUNTIFS(   D4:D451,"Inmunología",I4:I451,"No")</f>
        <v>5</v>
      </c>
      <c r="AO10" s="5">
        <f>SUMIFS( E4:E451, D4:D451,"Inmunología",I4:I451,"Sí")</f>
        <v>45</v>
      </c>
      <c r="AP10" s="5">
        <f>SUMIFS( E4:E451, D4:D451,"Inmunología",I4:I451,"No")</f>
        <v>34</v>
      </c>
      <c r="AQ10" s="5">
        <f>COUNTIFS(   D4:D451,"Inmunología",J4:J451,"Sí")</f>
        <v>9</v>
      </c>
      <c r="AR10" s="5">
        <f>COUNTIFS(   D4:D451,"Inmunología",K4:K451,"Sí")</f>
        <v>5</v>
      </c>
      <c r="AS10" s="5">
        <f>COUNTIFS(   D4:D451,"Inmunología",L4:L451,"Sí")</f>
        <v>8</v>
      </c>
      <c r="AT10" s="5">
        <f>SUMIFS( E4:E451, D4:D451,"Inmunología")</f>
        <v>79</v>
      </c>
      <c r="AU10" s="5">
        <f>SUMIFS( E4:E451, F4:F451,"Hombre", D4:D451,"Inmunología")</f>
        <v>23</v>
      </c>
      <c r="AV10" s="5">
        <f>SUMIFS( E4:E451, F4:F451,"Mujer", D4:D451,"Inmunología")</f>
        <v>56</v>
      </c>
      <c r="AW10" s="29">
        <f>SUMIFS( E4:E451, A4:A451,"2013", D4:D451,"Inmunología")</f>
        <v>0</v>
      </c>
      <c r="AX10" s="5">
        <f>SUMIFS( E4:E451, A4:A451,"2014", D4:D451,"Inmunología")</f>
        <v>0</v>
      </c>
      <c r="AY10" s="5">
        <f>SUMIFS( E4:E451, A4:A451,"2015", D4:D451,"Inmunología")</f>
        <v>10</v>
      </c>
      <c r="AZ10" s="5">
        <f>SUMIFS( E4:E451, A4:A451,"2016", D4:D451,"Inmunología")</f>
        <v>36</v>
      </c>
      <c r="BA10" s="5">
        <f>SUMIFS( E4:E451, A4:A451,"2017", D4:D451,"Inmunología")</f>
        <v>33</v>
      </c>
      <c r="BB10" s="29">
        <f>SUMIFS( E4:E451, N4:N451,"2014", D4:D451,"Inmunología")</f>
        <v>0</v>
      </c>
      <c r="BC10" s="5">
        <f>SUMIFS( E4:E451, N4:N451,"2015", D4:D451,"Inmunología")</f>
        <v>0</v>
      </c>
      <c r="BD10" s="5">
        <f>SUMIFS( E4:E451, N4:N451,"2016", D4:D451,"Inmunología")</f>
        <v>18</v>
      </c>
      <c r="BE10" s="5">
        <f>SUMIFS( E4:E451, N4:N451,"2017", D4:D451,"Inmunología")</f>
        <v>54</v>
      </c>
      <c r="BF10" s="5">
        <f>SUMIFS( E4:E451, N4:N451,"2018", D4:D451,"Inmunología")</f>
        <v>7</v>
      </c>
      <c r="BG10" s="23">
        <f>AVERAGEIFS( E4:E451, D4:D451,"Inmunología")</f>
        <v>8.7777777777777786</v>
      </c>
      <c r="BH10" s="23">
        <v>0</v>
      </c>
      <c r="BI10" s="23">
        <v>0</v>
      </c>
      <c r="BJ10" s="23">
        <f>AVERAGEIFS( E4:E451, A4:A451,"2015", D4:D451,"Inmunología")</f>
        <v>10</v>
      </c>
      <c r="BK10" s="23">
        <f>AVERAGEIFS( E4:E451, A4:A451,"2016", D4:D451,"Inmunología")</f>
        <v>9</v>
      </c>
      <c r="BL10" s="23">
        <f>AVERAGEIFS( E4:E451, A4:A451,"2017", D4:D451,"Inmunología")</f>
        <v>8.25</v>
      </c>
      <c r="BM10" s="23">
        <v>8.7777777777777786</v>
      </c>
      <c r="BN10" s="23">
        <v>0</v>
      </c>
      <c r="BO10" s="23">
        <v>0</v>
      </c>
      <c r="BP10" s="23">
        <v>10</v>
      </c>
      <c r="BQ10" s="23">
        <v>9</v>
      </c>
      <c r="BR10" s="23">
        <v>8.25</v>
      </c>
    </row>
    <row r="11" spans="1:70" ht="15" customHeight="1" x14ac:dyDescent="0.25">
      <c r="A11">
        <v>2017</v>
      </c>
      <c r="B11" t="s">
        <v>4</v>
      </c>
      <c r="C11" t="s">
        <v>5</v>
      </c>
      <c r="D11" t="s">
        <v>11</v>
      </c>
      <c r="E11">
        <v>6</v>
      </c>
      <c r="F11" t="s">
        <v>211</v>
      </c>
      <c r="G11" t="s">
        <v>233</v>
      </c>
      <c r="H11" t="s">
        <v>233</v>
      </c>
      <c r="I11" t="s">
        <v>233</v>
      </c>
      <c r="J11" t="s">
        <v>234</v>
      </c>
      <c r="K11" t="s">
        <v>234</v>
      </c>
      <c r="L11" t="s">
        <v>234</v>
      </c>
      <c r="M11" s="14">
        <v>43140</v>
      </c>
      <c r="N11" s="14" t="str">
        <f t="shared" si="0"/>
        <v>2018</v>
      </c>
      <c r="O11" s="55" t="s">
        <v>8</v>
      </c>
      <c r="P11" s="56"/>
      <c r="Q11" s="56"/>
      <c r="R11" s="56"/>
      <c r="S11" s="56"/>
      <c r="T11" s="57"/>
      <c r="U11" s="5">
        <f>COUNTIFS(   D4:D451,"Investigación Traslacional y Medicina Personalizada")</f>
        <v>3</v>
      </c>
      <c r="V11" s="5">
        <f>COUNTIFS(   D4:D451,"Investigación Traslacional y Medicina Personalizada",F4:F451,"Hombre")</f>
        <v>1</v>
      </c>
      <c r="W11" s="5">
        <f>COUNTIFS(   D4:D451,"Investigación Traslacional y Medicina Personalizada",F4:F451,"Mujer")</f>
        <v>2</v>
      </c>
      <c r="X11" s="29">
        <f>COUNTIFS(   A4:A451,"2013", D4:D451,"Investigación Traslacional y Medicina Personalizada")</f>
        <v>0</v>
      </c>
      <c r="Y11" s="5">
        <f>COUNTIFS(   A4:A451,"2014", D4:D451,"Investigación Traslacional y Medicina Personalizada")</f>
        <v>0</v>
      </c>
      <c r="Z11" s="5">
        <f>COUNTIFS(   A4:A451,"2015", D4:D451,"Investigación Traslacional y Medicina Personalizada")</f>
        <v>0</v>
      </c>
      <c r="AA11" s="5">
        <f>COUNTIFS(   A4:A451,"2016", D4:D451,"Investigación Traslacional y Medicina Personalizada")</f>
        <v>2</v>
      </c>
      <c r="AB11" s="5">
        <f>COUNTIFS(   A4:A451,"2017", D4:D451,"Investigación Traslacional y Medicina Personalizada")</f>
        <v>1</v>
      </c>
      <c r="AC11" s="29">
        <f>COUNTIFS(   N4:N451,"2014", D4:D451,"Investigación Traslacional y Medicina Personalizada")</f>
        <v>0</v>
      </c>
      <c r="AD11" s="5">
        <f>COUNTIFS(   N4:N451,"2015", D4:D451,"Investigación Traslacional y Medicina Personalizada")</f>
        <v>0</v>
      </c>
      <c r="AE11" s="5">
        <f>COUNTIFS(   N4:N451,"2016", D4:D451,"Investigación Traslacional y Medicina Personalizada")</f>
        <v>0</v>
      </c>
      <c r="AF11" s="5">
        <f>COUNTIFS(   N4:N451,"2017", D4:D451,"Investigación Traslacional y Medicina Personalizada")</f>
        <v>2</v>
      </c>
      <c r="AG11" s="5">
        <f>COUNTIFS(   N4:N451,"2018", D4:D451,"Investigación Traslacional y Medicina Personalizada")</f>
        <v>1</v>
      </c>
      <c r="AH11" s="5">
        <f>COUNTIFS(   D4:D451,"Investigación Traslacional y Medicina Personalizada",G4:G451,"Sí")</f>
        <v>0</v>
      </c>
      <c r="AI11" s="5">
        <f>COUNTIFS(   D4:D451,"Investigación Traslacional y Medicina Personalizada",G4:G451,"No")</f>
        <v>3</v>
      </c>
      <c r="AJ11" s="5">
        <f>SUMIFS( E4:E451, D4:D451,"Investigación Traslacional y Medicina Personalizada",G4:G451,"Sí")</f>
        <v>0</v>
      </c>
      <c r="AK11" s="5">
        <f>SUMIFS( E4:E451, D4:D451,"Investigación Traslacional y Medicina Personalizada",G4:G451,"No")</f>
        <v>13</v>
      </c>
      <c r="AL11" s="5">
        <f>COUNTIFS(   D4:D451,"Investigación Traslacional y Medicina Personalizada",H4:H451,"Sí")</f>
        <v>1</v>
      </c>
      <c r="AM11" s="5">
        <f>COUNTIFS(   D4:D451,"Investigación Traslacional y Medicina Personalizada",I4:I451,"Sí")</f>
        <v>2</v>
      </c>
      <c r="AN11" s="5">
        <f>COUNTIFS(   D4:D451,"Investigación Traslacional y Medicina Personalizada",I4:I451,"No")</f>
        <v>1</v>
      </c>
      <c r="AO11" s="5">
        <f>SUMIFS( E4:E451, D4:D451,"Investigación Traslacional y Medicina Personalizada",I4:I451,"Sí")</f>
        <v>10</v>
      </c>
      <c r="AP11" s="5">
        <f>SUMIFS( E4:E451, D4:D451,"Investigación Traslacional y Medicina Personalizada",I4:I451,"No")</f>
        <v>3</v>
      </c>
      <c r="AQ11" s="5">
        <f>COUNTIFS(   D4:D451,"Investigación Traslacional y Medicina Personalizada",J4:J451,"Sí")</f>
        <v>3</v>
      </c>
      <c r="AR11" s="5">
        <f>COUNTIFS(   D4:D451,"Investigación Traslacional y Medicina Personalizada",K4:K451,"Sí")</f>
        <v>2</v>
      </c>
      <c r="AS11" s="5">
        <f>COUNTIFS(   D4:D451,"Investigación Traslacional y Medicina Personalizada",L4:L451,"Sí")</f>
        <v>3</v>
      </c>
      <c r="AT11" s="5">
        <f>SUMIFS( E4:E451, D4:D451,"Investigación Traslacional y Medicina Personalizada")</f>
        <v>13</v>
      </c>
      <c r="AU11" s="5">
        <f>SUMIFS( E4:E451, F4:F451,"Hombre", D4:D451,"Investigación Traslacional y Medicina Personalizada")</f>
        <v>5</v>
      </c>
      <c r="AV11" s="5">
        <f>SUMIFS( E4:E451, F4:F451,"Mujer", D4:D451,"Investigación Traslacional y Medicina Personalizada")</f>
        <v>8</v>
      </c>
      <c r="AW11" s="29">
        <f>SUMIFS( E4:E451, A4:A451,"2013", D4:D451,"Investigación Traslacional y Medicina Personalizada")</f>
        <v>0</v>
      </c>
      <c r="AX11" s="5">
        <f>SUMIFS( E4:E451, A4:A451,"2014", D4:D451,"Investigación Traslacional y Medicina Personalizada")</f>
        <v>0</v>
      </c>
      <c r="AY11" s="5">
        <f>SUMIFS( E4:E451, A4:A451,"2015", D4:D451,"Investigación Traslacional y Medicina Personalizada")</f>
        <v>0</v>
      </c>
      <c r="AZ11" s="5">
        <f>SUMIFS( E4:E451, A4:A451,"2016", D4:D451,"Investigación Traslacional y Medicina Personalizada")</f>
        <v>8</v>
      </c>
      <c r="BA11" s="5">
        <f>SUMIFS( E4:E451, A4:A451,"2017", D4:D451,"Investigación Traslacional y Medicina Personalizada")</f>
        <v>5</v>
      </c>
      <c r="BB11" s="29">
        <f>SUMIFS( E4:E451, N4:N451,"2014", D4:D451,"Investigación Traslacional y Medicina Personalizada")</f>
        <v>0</v>
      </c>
      <c r="BC11" s="5">
        <f>SUMIFS( E4:E451, N4:N451,"2015", D4:D451,"Investigación Traslacional y Medicina Personalizada")</f>
        <v>0</v>
      </c>
      <c r="BD11" s="5">
        <f>SUMIFS( E4:E451, N4:N451,"2016", D4:D451,"Investigación Traslacional y Medicina Personalizada")</f>
        <v>0</v>
      </c>
      <c r="BE11" s="5">
        <f>SUMIFS( E4:E451, N4:N451,"2017", D4:D451,"Investigación Traslacional y Medicina Personalizada")</f>
        <v>8</v>
      </c>
      <c r="BF11" s="5">
        <f>SUMIFS( E4:E451, N4:N451,"2018", D4:D451,"Investigación Traslacional y Medicina Personalizada")</f>
        <v>5</v>
      </c>
      <c r="BG11" s="23">
        <f>AVERAGEIFS( E4:E451, D4:D451,"Investigación Traslacional y Medicina Personalizada")</f>
        <v>4.333333333333333</v>
      </c>
      <c r="BH11" s="23">
        <v>0</v>
      </c>
      <c r="BI11" s="23">
        <v>0</v>
      </c>
      <c r="BJ11" s="23">
        <v>0</v>
      </c>
      <c r="BK11" s="23">
        <f>AVERAGEIFS( E4:E451, A4:A451,"2016", D4:D451,"Investigación Traslacional y Medicina Personalizada")</f>
        <v>4</v>
      </c>
      <c r="BL11" s="23">
        <f>AVERAGEIFS( E4:E451, A4:A451,"2017", D4:D451,"Investigación Traslacional y Medicina Personalizada")</f>
        <v>5</v>
      </c>
      <c r="BM11" s="23">
        <v>4.333333333333333</v>
      </c>
      <c r="BN11" s="23">
        <v>0</v>
      </c>
      <c r="BO11" s="23">
        <v>0</v>
      </c>
      <c r="BP11" s="23">
        <v>0</v>
      </c>
      <c r="BQ11" s="23">
        <v>4</v>
      </c>
      <c r="BR11" s="23">
        <v>5</v>
      </c>
    </row>
    <row r="12" spans="1:70" ht="15" customHeight="1" x14ac:dyDescent="0.25">
      <c r="A12">
        <v>2017</v>
      </c>
      <c r="B12" t="s">
        <v>4</v>
      </c>
      <c r="C12" t="s">
        <v>5</v>
      </c>
      <c r="D12" t="s">
        <v>10</v>
      </c>
      <c r="E12">
        <v>4</v>
      </c>
      <c r="F12" t="s">
        <v>215</v>
      </c>
      <c r="G12" t="s">
        <v>233</v>
      </c>
      <c r="H12" t="s">
        <v>233</v>
      </c>
      <c r="I12" t="s">
        <v>234</v>
      </c>
      <c r="J12" t="s">
        <v>234</v>
      </c>
      <c r="K12" t="s">
        <v>234</v>
      </c>
      <c r="L12" t="s">
        <v>234</v>
      </c>
      <c r="M12" s="14">
        <v>43069</v>
      </c>
      <c r="N12" s="14" t="str">
        <f t="shared" si="0"/>
        <v>2017</v>
      </c>
      <c r="O12" s="55" t="s">
        <v>13</v>
      </c>
      <c r="P12" s="56"/>
      <c r="Q12" s="56"/>
      <c r="R12" s="56"/>
      <c r="S12" s="56"/>
      <c r="T12" s="57"/>
      <c r="U12" s="5">
        <f>COUNTIFS(   D4:D451,"Neurociencias Básicas")</f>
        <v>2</v>
      </c>
      <c r="V12" s="5">
        <f>COUNTIFS(   D4:D451,"Neurociencias Básicas",F4:F451,"Hombre")</f>
        <v>0</v>
      </c>
      <c r="W12" s="5">
        <f>COUNTIFS(   D4:D451,"Neurociencias Básicas",F4:F451,"Mujer")</f>
        <v>2</v>
      </c>
      <c r="X12" s="29">
        <f>COUNTIFS(   A4:A451,"2013", D4:D451,"Neurociencias Básicas")</f>
        <v>0</v>
      </c>
      <c r="Y12" s="5">
        <f>COUNTIFS(   A4:A451,"2014", D4:D451,"Neurociencias Básicas")</f>
        <v>0</v>
      </c>
      <c r="Z12" s="5">
        <f>COUNTIFS(   A4:A451,"2015", D4:D451,"Neurociencias Básicas")</f>
        <v>0</v>
      </c>
      <c r="AA12" s="5">
        <f>COUNTIFS(   A4:A451,"2016", D4:D451,"Neurociencias Básicas")</f>
        <v>2</v>
      </c>
      <c r="AB12" s="5">
        <f>COUNTIFS(   A4:A451,"2017", D4:D451,"Neurociencias Básicas")</f>
        <v>0</v>
      </c>
      <c r="AC12" s="29">
        <f>COUNTIFS(   N4:N451,"2014", D4:D451,"Neurociencias Básicas")</f>
        <v>0</v>
      </c>
      <c r="AD12" s="5">
        <f>COUNTIFS(   N4:N451,"2015", D4:D451,"Neurociencias Básicas")</f>
        <v>0</v>
      </c>
      <c r="AE12" s="5">
        <f>COUNTIFS(   N4:N451,"2016", D4:D451,"Neurociencias Básicas")</f>
        <v>0</v>
      </c>
      <c r="AF12" s="5">
        <f>COUNTIFS(   N4:N451,"2017", D4:D451,"Neurociencias Básicas")</f>
        <v>2</v>
      </c>
      <c r="AG12" s="5">
        <f>COUNTIFS(   N4:N451,"2018", D4:D451,"Neurociencias Básicas")</f>
        <v>0</v>
      </c>
      <c r="AH12" s="5">
        <f>COUNTIFS(   D4:D451,"Neurociencias Básicas",G4:G451,"Sí")</f>
        <v>0</v>
      </c>
      <c r="AI12" s="5">
        <f>COUNTIFS(   D4:D451,"Neurociencias Básicas",G4:G451,"No")</f>
        <v>2</v>
      </c>
      <c r="AJ12" s="5">
        <f>SUMIFS( E4:E451, D4:D451,"Neurociencias Básicas",G4:G451,"Sí")</f>
        <v>0</v>
      </c>
      <c r="AK12" s="5">
        <f>SUMIFS( E4:E451, D4:D451,"Neurociencias Básicas",G4:G451,"No")</f>
        <v>12</v>
      </c>
      <c r="AL12" s="5">
        <f>COUNTIFS(   D4:D451,"Neurociencias Básicas",H4:H451,"Sí")</f>
        <v>0</v>
      </c>
      <c r="AM12" s="5">
        <f>COUNTIFS(   D4:D451,"Neurociencias Básicas",I4:I451,"Sí")</f>
        <v>1</v>
      </c>
      <c r="AN12" s="5">
        <f>COUNTIFS(   D4:D451,"Neurociencias Básicas",I4:I451,"No")</f>
        <v>1</v>
      </c>
      <c r="AO12" s="5">
        <f>SUMIFS( E4:E451, D4:D451,"Neurociencias Básicas",I4:I451,"Sí")</f>
        <v>10</v>
      </c>
      <c r="AP12" s="5">
        <f>SUMIFS( E4:E451, D4:D451,"Neurociencias Básicas",I4:I451,"No")</f>
        <v>2</v>
      </c>
      <c r="AQ12" s="5">
        <f>COUNTIFS(   D4:D451,"Neurociencias Básicas",J4:J451,"Sí")</f>
        <v>2</v>
      </c>
      <c r="AR12" s="5">
        <f>COUNTIFS(   D4:D451,"Neurociencias Básicas",K4:K451,"Sí")</f>
        <v>1</v>
      </c>
      <c r="AS12" s="5">
        <f>COUNTIFS(   D4:D451,"Neurociencias Básicas",L4:L451,"Sí")</f>
        <v>2</v>
      </c>
      <c r="AT12" s="5">
        <f>SUMIFS( E4:E451, D4:D451,"Neurociencias Básicas")</f>
        <v>12</v>
      </c>
      <c r="AU12" s="5">
        <f>SUMIFS( E4:E451, F4:F451,"Hombre", D4:D451,"Neurociencias Básicas")</f>
        <v>0</v>
      </c>
      <c r="AV12" s="5">
        <f>SUMIFS( E4:E451, F4:F451,"Mujer", D4:D451,"Neurociencias Básicas")</f>
        <v>12</v>
      </c>
      <c r="AW12" s="29">
        <f>SUMIFS( E4:E451, A4:A451,"2013", D4:D451,"Neurociencias Básicas")</f>
        <v>0</v>
      </c>
      <c r="AX12" s="5">
        <f>SUMIFS( E4:E451, A4:A451,"2014", D4:D451,"Neurociencias Básicas")</f>
        <v>0</v>
      </c>
      <c r="AY12" s="5">
        <f>SUMIFS( E4:E451, A4:A451,"2015", D4:D451,"Neurociencias Básicas")</f>
        <v>0</v>
      </c>
      <c r="AZ12" s="5">
        <f>SUMIFS( E4:E451, A4:A451,"2016", D4:D451,"Neurociencias Básicas")</f>
        <v>12</v>
      </c>
      <c r="BA12" s="5">
        <f>SUMIFS( E4:E451, A4:A451,"2017", D4:D451,"Neurociencias Básicas")</f>
        <v>0</v>
      </c>
      <c r="BB12" s="29">
        <f>SUMIFS( E4:E451, N4:N451,"2014", D4:D451,"Neurociencias Básicas")</f>
        <v>0</v>
      </c>
      <c r="BC12" s="5">
        <f>SUMIFS( E4:E451, N4:N451,"2015", D4:D451,"Neurociencias Básicas")</f>
        <v>0</v>
      </c>
      <c r="BD12" s="5">
        <f>SUMIFS( E4:E451, N4:N451,"2016", D4:D451,"Neurociencias Básicas")</f>
        <v>0</v>
      </c>
      <c r="BE12" s="5">
        <f>SUMIFS( E4:E451, N4:N451,"2017", D4:D451,"Neurociencias Básicas")</f>
        <v>12</v>
      </c>
      <c r="BF12" s="5">
        <f>SUMIFS( E4:E451, N4:N451,"2018", D4:D451,"Neurociencias Básicas")</f>
        <v>0</v>
      </c>
      <c r="BG12" s="23">
        <f>AVERAGEIFS( E4:E451, D4:D451,"Neurociencias Básicas")</f>
        <v>6</v>
      </c>
      <c r="BH12" s="23">
        <v>0</v>
      </c>
      <c r="BI12" s="23">
        <v>0</v>
      </c>
      <c r="BJ12" s="23">
        <v>0</v>
      </c>
      <c r="BK12" s="23">
        <f>AVERAGEIFS( E4:E451, A4:A451,"2016", D4:D451,"Neurociencias Básicas")</f>
        <v>6</v>
      </c>
      <c r="BL12" s="23">
        <v>0</v>
      </c>
      <c r="BM12" s="23">
        <v>6</v>
      </c>
      <c r="BN12" s="23">
        <v>0</v>
      </c>
      <c r="BO12" s="23">
        <v>0</v>
      </c>
      <c r="BP12" s="23">
        <v>0</v>
      </c>
      <c r="BQ12" s="23">
        <v>6</v>
      </c>
      <c r="BR12" s="23">
        <v>0</v>
      </c>
    </row>
    <row r="13" spans="1:70" ht="15" customHeight="1" x14ac:dyDescent="0.25">
      <c r="A13">
        <v>2017</v>
      </c>
      <c r="B13" t="s">
        <v>4</v>
      </c>
      <c r="C13" t="s">
        <v>5</v>
      </c>
      <c r="D13" t="s">
        <v>9</v>
      </c>
      <c r="E13">
        <v>3</v>
      </c>
      <c r="F13" t="s">
        <v>215</v>
      </c>
      <c r="G13" t="s">
        <v>233</v>
      </c>
      <c r="H13" t="s">
        <v>233</v>
      </c>
      <c r="I13" t="s">
        <v>233</v>
      </c>
      <c r="J13" t="s">
        <v>234</v>
      </c>
      <c r="K13" t="s">
        <v>234</v>
      </c>
      <c r="L13" t="s">
        <v>234</v>
      </c>
      <c r="M13" s="14">
        <v>43049</v>
      </c>
      <c r="N13" s="14" t="str">
        <f t="shared" si="0"/>
        <v>2017</v>
      </c>
      <c r="O13" s="58" t="s">
        <v>44</v>
      </c>
      <c r="P13" s="59"/>
      <c r="Q13" s="59"/>
      <c r="R13" s="59"/>
      <c r="S13" s="59"/>
      <c r="T13" s="60"/>
      <c r="U13" s="4">
        <f>COUNTIFS(   C4:C451,"Bioquímica y Biología Molecular")</f>
        <v>9</v>
      </c>
      <c r="V13" s="4">
        <f>COUNTIFS(   C4:C451,"Bioquímica y Biología Molecular",F4:F451,"Hombre")</f>
        <v>3</v>
      </c>
      <c r="W13" s="4">
        <f>COUNTIFS(   C4:C451,"Bioquímica y Biología Molecular",F4:F451,"Mujer")</f>
        <v>6</v>
      </c>
      <c r="X13" s="28">
        <f>COUNTIFS(   A4:A451,"2013", C4:C451,"Bioquímica y Biología Molecular")</f>
        <v>0</v>
      </c>
      <c r="Y13" s="4">
        <f>COUNTIFS(   A4:A451,"2014", C4:C451,"Bioquímica y Biología Molecular")</f>
        <v>0</v>
      </c>
      <c r="Z13" s="4">
        <f>COUNTIFS(   A4:A451,"2015", C4:C451,"Bioquímica y Biología Molecular")</f>
        <v>3</v>
      </c>
      <c r="AA13" s="4">
        <f>COUNTIFS(   A4:A451,"2016", C4:C451,"Bioquímica y Biología Molecular")</f>
        <v>3</v>
      </c>
      <c r="AB13" s="4">
        <f>COUNTIFS(   A4:A451,"2017", C4:C451,"Bioquímica y Biología Molecular")</f>
        <v>3</v>
      </c>
      <c r="AC13" s="28">
        <f>COUNTIFS(   N4:N451,"2014", C4:C451,"Bioquímica y Biología Molecular")</f>
        <v>0</v>
      </c>
      <c r="AD13" s="4">
        <f>COUNTIFS(   N4:N451,"2015", C4:C451,"Bioquímica y Biología Molecular")</f>
        <v>0</v>
      </c>
      <c r="AE13" s="4">
        <f>COUNTIFS(   N4:N451,"2016", C4:C451,"Bioquímica y Biología Molecular")</f>
        <v>3</v>
      </c>
      <c r="AF13" s="4">
        <f>COUNTIFS(   N4:N451,"2017", C4:C451,"Bioquímica y Biología Molecular")</f>
        <v>4</v>
      </c>
      <c r="AG13" s="4">
        <f>COUNTIFS(   N4:N451,"2018", C4:C451,"Bioquímica y Biología Molecular")</f>
        <v>2</v>
      </c>
      <c r="AH13" s="4">
        <f>COUNTIFS(   C4:C451,"Bioquímica y Biología Molecular",G4:G451,"Sí")</f>
        <v>0</v>
      </c>
      <c r="AI13" s="4">
        <f>COUNTIFS(   C4:C451,"Bioquímica y Biología Molecular",G4:G451,"No")</f>
        <v>9</v>
      </c>
      <c r="AJ13" s="4">
        <f>SUMIFS( E4:E451, C4:C451,"Bioquímica y Biología Molecular",G4:G451,"Sí")</f>
        <v>0</v>
      </c>
      <c r="AK13" s="4">
        <f>SUMIFS( E4:E451, C4:C451,"Bioquímica y Biología Molecular",G4:G451,"No")</f>
        <v>78</v>
      </c>
      <c r="AL13" s="4">
        <f>COUNTIFS(   C4:C451,"Bioquímica y Biología Molecular",H4:H451,"Sí")</f>
        <v>0</v>
      </c>
      <c r="AM13" s="4">
        <f>COUNTIFS(   C4:C451,"Bioquímica y Biología Molecular",I4:I451,"Sí")</f>
        <v>1</v>
      </c>
      <c r="AN13" s="4">
        <f>COUNTIFS(   C4:C451,"Bioquímica y Biología Molecular",I4:I451,"No")</f>
        <v>8</v>
      </c>
      <c r="AO13" s="4">
        <f>SUMIFS( E4:E451, C4:C451,"Bioquímica y Biología Molecular",I4:I451,"Sí")</f>
        <v>23</v>
      </c>
      <c r="AP13" s="4">
        <f>SUMIFS( E4:E451, C4:C451,"Bioquímica y Biología Molecular",I4:I451,"No")</f>
        <v>55</v>
      </c>
      <c r="AQ13" s="4">
        <f>COUNTIFS(   C4:C451,"Bioquímica y Biología Molecular",J4:J451,"Sí")</f>
        <v>7</v>
      </c>
      <c r="AR13" s="4">
        <f>COUNTIFS(   C4:C451,"Bioquímica y Biología Molecular",K4:K451,"Sí")</f>
        <v>4</v>
      </c>
      <c r="AS13" s="4">
        <f>COUNTIFS(   C4:C451,"Bioquímica y Biología Molecular",L4:L451,"Sí")</f>
        <v>8</v>
      </c>
      <c r="AT13" s="4">
        <f>SUMIFS( E4:E451, C4:C451,"Bioquímica y Biología Molecular")</f>
        <v>78</v>
      </c>
      <c r="AU13" s="4">
        <f>SUMIFS( E4:E451, F4:F451,"Hombre", C4:C451,"Bioquímica y Biología Molecular")</f>
        <v>18</v>
      </c>
      <c r="AV13" s="4">
        <f>SUMIFS( E4:E451, F4:F451,"Mujer", C4:C451,"Bioquímica y Biología Molecular")</f>
        <v>60</v>
      </c>
      <c r="AW13" s="28">
        <f>SUMIFS( E4:E451, A4:A451,"2013", C4:C451,"Bioquímica y Biología Molecular")</f>
        <v>0</v>
      </c>
      <c r="AX13" s="4">
        <f>SUMIFS( E4:E451, A4:A451,"2014", C4:C451,"Bioquímica y Biología Molecular")</f>
        <v>0</v>
      </c>
      <c r="AY13" s="4">
        <f>SUMIFS( E4:E451, A4:A451,"2015", C4:C451,"Bioquímica y Biología Molecular")</f>
        <v>52</v>
      </c>
      <c r="AZ13" s="4">
        <f>SUMIFS( E4:E451, A4:A451,"2016", C4:C451,"Bioquímica y Biología Molecular")</f>
        <v>9</v>
      </c>
      <c r="BA13" s="4">
        <f>SUMIFS( E4:E451, A4:A451,"2017", C4:C451,"Bioquímica y Biología Molecular")</f>
        <v>17</v>
      </c>
      <c r="BB13" s="28">
        <f>SUMIFS( E4:E451, N4:N451,"2014", C4:C451,"Bioquímica y Biología Molecular")</f>
        <v>0</v>
      </c>
      <c r="BC13" s="4">
        <f>SUMIFS( E4:E451, N4:N451,"2015", C4:C451,"Bioquímica y Biología Molecular")</f>
        <v>0</v>
      </c>
      <c r="BD13" s="4">
        <f>SUMIFS( E4:E451, N4:N451,"2016", C4:C451,"Bioquímica y Biología Molecular")</f>
        <v>52</v>
      </c>
      <c r="BE13" s="4">
        <f>SUMIFS( E4:E451, N4:N451,"2017", C4:C451,"Bioquímica y Biología Molecular")</f>
        <v>16</v>
      </c>
      <c r="BF13" s="4">
        <f>SUMIFS( E4:E451, N4:N451,"2018", C4:C451,"Bioquímica y Biología Molecular")</f>
        <v>10</v>
      </c>
      <c r="BG13" s="22">
        <f>AVERAGEIFS( E4:E451, C4:C451,"Bioquímica y Biología Molecular")</f>
        <v>8.6666666666666661</v>
      </c>
      <c r="BH13" s="22">
        <v>0</v>
      </c>
      <c r="BI13" s="22">
        <v>0</v>
      </c>
      <c r="BJ13" s="22">
        <f>AVERAGEIFS( E4:E451, A4:A451,"2015", C4:C451,"Bioquímica y Biología Molecular")</f>
        <v>17.333333333333332</v>
      </c>
      <c r="BK13" s="22">
        <f>AVERAGEIFS( E4:E451, A4:A451,"2016", C4:C451,"Bioquímica y Biología Molecular")</f>
        <v>3</v>
      </c>
      <c r="BL13" s="22">
        <f>AVERAGEIFS( E4:E451, A4:A451,"2017", C4:C451,"Bioquímica y Biología Molecular")</f>
        <v>5.666666666666667</v>
      </c>
      <c r="BM13" s="22">
        <f>AVERAGE(AT14:AT16)</f>
        <v>26</v>
      </c>
      <c r="BN13" s="22">
        <f>AVERAGE(AW14:AW16)</f>
        <v>0</v>
      </c>
      <c r="BO13" s="22">
        <f>AVERAGE(AX14:AX16)</f>
        <v>0</v>
      </c>
      <c r="BP13" s="22">
        <f>AVERAGE(AY14:AY16)</f>
        <v>17.333333333333332</v>
      </c>
      <c r="BQ13" s="22">
        <f>AVERAGE(AZ14:AZ16)</f>
        <v>3</v>
      </c>
      <c r="BR13" s="22">
        <f>AVERAGE(BA14:BA16)</f>
        <v>5.666666666666667</v>
      </c>
    </row>
    <row r="14" spans="1:70" ht="15" customHeight="1" x14ac:dyDescent="0.25">
      <c r="A14">
        <v>2017</v>
      </c>
      <c r="B14" t="s">
        <v>4</v>
      </c>
      <c r="C14" t="s">
        <v>5</v>
      </c>
      <c r="D14" t="s">
        <v>9</v>
      </c>
      <c r="E14">
        <v>1</v>
      </c>
      <c r="F14" t="s">
        <v>215</v>
      </c>
      <c r="G14" t="s">
        <v>233</v>
      </c>
      <c r="H14" t="s">
        <v>233</v>
      </c>
      <c r="I14" t="s">
        <v>233</v>
      </c>
      <c r="J14" t="s">
        <v>234</v>
      </c>
      <c r="K14" t="s">
        <v>234</v>
      </c>
      <c r="L14" t="s">
        <v>234</v>
      </c>
      <c r="M14" s="14">
        <v>43038</v>
      </c>
      <c r="N14" s="14" t="str">
        <f t="shared" si="0"/>
        <v>2017</v>
      </c>
      <c r="O14" s="55" t="s">
        <v>16</v>
      </c>
      <c r="P14" s="56"/>
      <c r="Q14" s="56"/>
      <c r="R14" s="56"/>
      <c r="S14" s="56"/>
      <c r="T14" s="57"/>
      <c r="U14" s="5">
        <f>COUNTIFS(   D4:D451,"Biología Molecular de protozoos parásitos")</f>
        <v>1</v>
      </c>
      <c r="V14" s="5">
        <f>COUNTIFS(   D4:D451,"Biología Molecular de protozoos parásitos",F4:F451,"Hombre")</f>
        <v>0</v>
      </c>
      <c r="W14" s="5">
        <f>COUNTIFS(   D4:D451,"Biología Molecular de protozoos parásitos",F4:F451,"Mujer")</f>
        <v>1</v>
      </c>
      <c r="X14" s="29">
        <f>COUNTIFS(   A4:A451,"2013", D4:D451,"Biología Molecular de protozoos parásitos")</f>
        <v>0</v>
      </c>
      <c r="Y14" s="5">
        <f>COUNTIFS(   A4:A451,"2014", D4:D451,"Biología Molecular de protozoos parásitos")</f>
        <v>0</v>
      </c>
      <c r="Z14" s="5">
        <f>COUNTIFS(   A4:A451,"2015", D4:D451,"Biología Molecular de protozoos parásitos")</f>
        <v>0</v>
      </c>
      <c r="AA14" s="5">
        <f>COUNTIFS(   A4:A451,"2016", D4:D451,"Biología Molecular de protozoos parásitos")</f>
        <v>1</v>
      </c>
      <c r="AB14" s="5">
        <f>COUNTIFS(   A4:A451,"2017", D4:D451,"Biología Molecular de protozoos parásitos")</f>
        <v>0</v>
      </c>
      <c r="AC14" s="29">
        <f>COUNTIFS(   N4:N451,"2014", D4:D451,"Biología Molecular de protozoos parásitos")</f>
        <v>0</v>
      </c>
      <c r="AD14" s="5">
        <f>COUNTIFS(   N4:N451,"2015", D4:D451,"Biología Molecular de protozoos parásitos")</f>
        <v>0</v>
      </c>
      <c r="AE14" s="5">
        <f>COUNTIFS(   N4:N451,"2016", D4:D451,"Biología Molecular de protozoos parásitos")</f>
        <v>0</v>
      </c>
      <c r="AF14" s="5">
        <f>COUNTIFS(   N4:N451,"2017", D4:D451,"Biología Molecular de protozoos parásitos")</f>
        <v>1</v>
      </c>
      <c r="AG14" s="5">
        <f>COUNTIFS(   N4:N451,"2018", D4:D451,"Biología Molecular de protozoos parásitos")</f>
        <v>0</v>
      </c>
      <c r="AH14" s="5">
        <f>COUNTIFS(   D4:D451,"Biología Molecular de protozoos parásitos",G4:G451,"Sí")</f>
        <v>0</v>
      </c>
      <c r="AI14" s="5">
        <f>COUNTIFS(   D4:D451,"Biología Molecular de protozoos parásitos",G4:G451,"No")</f>
        <v>1</v>
      </c>
      <c r="AJ14" s="5">
        <f>SUMIFS( E4:E451, D4:D451,"Biología Molecular de protozoos parásitos",G4:G451,"Sí")</f>
        <v>0</v>
      </c>
      <c r="AK14" s="5">
        <f>SUMIFS( E4:E451, D4:D451,"Biología Molecular de protozoos parásitos",G4:G451,"No")</f>
        <v>4</v>
      </c>
      <c r="AL14" s="5">
        <f>COUNTIFS(   D4:D451,"Biología Molecular de protozoos parásitos",H4:H451,"Sí")</f>
        <v>0</v>
      </c>
      <c r="AM14" s="5">
        <f>COUNTIFS(   D4:D451,"Biología Molecular de protozoos parásitos",I4:I451,"Sí")</f>
        <v>0</v>
      </c>
      <c r="AN14" s="5">
        <f>COUNTIFS(   D4:D451,"Biología Molecular de protozoos parásitos",I4:I451,"No")</f>
        <v>1</v>
      </c>
      <c r="AO14" s="5">
        <f>SUMIFS( E4:E451, D4:D451,"Biología Molecular de protozoos parásitos",I4:I451,"Sí")</f>
        <v>0</v>
      </c>
      <c r="AP14" s="5">
        <f>SUMIFS( E4:E451, D4:D451,"Biología Molecular de protozoos parásitos",I4:I451,"No")</f>
        <v>4</v>
      </c>
      <c r="AQ14" s="5">
        <f>COUNTIFS(   D4:D451,"Biología Molecular de protozoos parásitos",J4:J451,"Sí")</f>
        <v>0</v>
      </c>
      <c r="AR14" s="5">
        <f>COUNTIFS(   D4:D451,"Biología Molecular de protozoos parásitos",K4:K451,"Sí")</f>
        <v>0</v>
      </c>
      <c r="AS14" s="5">
        <f>COUNTIFS(   D4:D451,"Biología Molecular de protozoos parásitos",L4:L451,"Sí")</f>
        <v>1</v>
      </c>
      <c r="AT14" s="5">
        <f>SUMIFS( E4:E451, D4:D451,"Biología Molecular de protozoos parásitos")</f>
        <v>4</v>
      </c>
      <c r="AU14" s="5">
        <f>SUMIFS( E4:E451, F4:F451,"Hombre", D4:D451,"Biología Molecular de protozoos parásitos")</f>
        <v>0</v>
      </c>
      <c r="AV14" s="5">
        <f>SUMIFS( E4:E451, F4:F451,"Mujer", D4:D451,"Biología Molecular de protozoos parásitos")</f>
        <v>4</v>
      </c>
      <c r="AW14" s="29">
        <f>SUMIFS( E4:E451, A4:A451,"2013", D4:D451,"Biología Molecular de protozoos parásitos")</f>
        <v>0</v>
      </c>
      <c r="AX14" s="5">
        <f>SUMIFS( E4:E451, A4:A451,"2014", D4:D451,"Biología Molecular de protozoos parásitos")</f>
        <v>0</v>
      </c>
      <c r="AY14" s="5">
        <f>SUMIFS( E4:E451, A4:A451,"2015", D4:D451,"Biología Molecular de protozoos parásitos")</f>
        <v>0</v>
      </c>
      <c r="AZ14" s="5">
        <f>SUMIFS( E4:E451, A4:A451,"2016", D4:D451,"Biología Molecular de protozoos parásitos")</f>
        <v>4</v>
      </c>
      <c r="BA14" s="5">
        <f>SUMIFS( E4:E451, A4:A451,"2017", D4:D451,"Biología Molecular de protozoos parásitos")</f>
        <v>0</v>
      </c>
      <c r="BB14" s="29">
        <f>SUMIFS( E4:E451, N4:N451,"2014", D4:D451,"Biología Molecular de protozoos parásitos")</f>
        <v>0</v>
      </c>
      <c r="BC14" s="5">
        <f>SUMIFS( E4:E451, N4:N451,"2015", D4:D451,"Biología Molecular de protozoos parásitos")</f>
        <v>0</v>
      </c>
      <c r="BD14" s="5">
        <f>SUMIFS( E4:E451, N4:N451,"2016", D4:D451,"Biología Molecular de protozoos parásitos")</f>
        <v>0</v>
      </c>
      <c r="BE14" s="5">
        <f>SUMIFS( E4:E451, N4:N451,"2017", D4:D451,"Biología Molecular de protozoos parásitos")</f>
        <v>4</v>
      </c>
      <c r="BF14" s="5">
        <f>SUMIFS( E4:E451, N4:N451,"2018", D4:D451,"Biología Molecular de protozoos parásitos")</f>
        <v>0</v>
      </c>
      <c r="BG14" s="23">
        <f>AVERAGEIFS( E4:E451, D4:D451,"Biología Molecular de protozoos parásitos")</f>
        <v>4</v>
      </c>
      <c r="BH14" s="23">
        <v>0</v>
      </c>
      <c r="BI14" s="23">
        <v>0</v>
      </c>
      <c r="BJ14" s="23">
        <v>0</v>
      </c>
      <c r="BK14" s="23">
        <f>AVERAGEIFS( E4:E451, A4:A451,"2016", D4:D451,"Biología Molecular de protozoos parásitos")</f>
        <v>4</v>
      </c>
      <c r="BL14" s="23">
        <v>0</v>
      </c>
      <c r="BM14" s="23">
        <v>4</v>
      </c>
      <c r="BN14" s="23">
        <v>0</v>
      </c>
      <c r="BO14" s="23">
        <v>0</v>
      </c>
      <c r="BP14" s="23">
        <v>0</v>
      </c>
      <c r="BQ14" s="23">
        <v>4</v>
      </c>
      <c r="BR14" s="23">
        <v>0</v>
      </c>
    </row>
    <row r="15" spans="1:70" ht="15" customHeight="1" x14ac:dyDescent="0.25">
      <c r="A15">
        <v>2017</v>
      </c>
      <c r="B15" t="s">
        <v>4</v>
      </c>
      <c r="C15" t="s">
        <v>5</v>
      </c>
      <c r="D15" t="s">
        <v>10</v>
      </c>
      <c r="E15">
        <v>5</v>
      </c>
      <c r="F15" t="s">
        <v>211</v>
      </c>
      <c r="G15" t="s">
        <v>233</v>
      </c>
      <c r="H15" t="s">
        <v>233</v>
      </c>
      <c r="I15" t="s">
        <v>234</v>
      </c>
      <c r="J15" t="s">
        <v>234</v>
      </c>
      <c r="K15" t="s">
        <v>234</v>
      </c>
      <c r="L15" t="s">
        <v>234</v>
      </c>
      <c r="M15" s="14">
        <v>43028</v>
      </c>
      <c r="N15" s="14" t="str">
        <f t="shared" si="0"/>
        <v>2017</v>
      </c>
      <c r="O15" s="55" t="s">
        <v>17</v>
      </c>
      <c r="P15" s="56"/>
      <c r="Q15" s="56"/>
      <c r="R15" s="56"/>
      <c r="S15" s="56"/>
      <c r="T15" s="57"/>
      <c r="U15" s="5">
        <f>COUNTIFS(   D4:D451,"Bioquímica y Biología Molecular de plantas y microorganismos")</f>
        <v>3</v>
      </c>
      <c r="V15" s="5">
        <f>COUNTIFS(   D4:D451,"Bioquímica y Biología Molecular de plantas y microorganismos",F4:F451,"Hombre")</f>
        <v>0</v>
      </c>
      <c r="W15" s="5">
        <f>COUNTIFS(   D4:D451,"Bioquímica y Biología Molecular de plantas y microorganismos",F4:F451,"Mujer")</f>
        <v>3</v>
      </c>
      <c r="X15" s="29">
        <f>COUNTIFS(   A4:A451,"2013", D4:D451,"Bioquímica y Biología Molecular de plantas y microorganismos")</f>
        <v>0</v>
      </c>
      <c r="Y15" s="5">
        <f>COUNTIFS(   A4:A451,"2014", D4:D451,"Bioquímica y Biología Molecular de plantas y microorganismos")</f>
        <v>0</v>
      </c>
      <c r="Z15" s="5">
        <f>COUNTIFS(   A4:A451,"2015", D4:D451,"Bioquímica y Biología Molecular de plantas y microorganismos")</f>
        <v>3</v>
      </c>
      <c r="AA15" s="5">
        <f>COUNTIFS(   A4:A451,"2016", D4:D451,"Bioquímica y Biología Molecular de plantas y microorganismos")</f>
        <v>0</v>
      </c>
      <c r="AB15" s="5">
        <f>COUNTIFS(   A4:A451,"2017", D4:D451,"Bioquímica y Biología Molecular de plantas y microorganismos")</f>
        <v>0</v>
      </c>
      <c r="AC15" s="29">
        <f>COUNTIFS(   N4:N451,"2014", D4:D451,"Bioquímica y Biología Molecular de plantas y microorganismos")</f>
        <v>0</v>
      </c>
      <c r="AD15" s="5">
        <f>COUNTIFS(   N4:N451,"2015", D4:D451,"Bioquímica y Biología Molecular de plantas y microorganismos")</f>
        <v>0</v>
      </c>
      <c r="AE15" s="5">
        <f>COUNTIFS(   N4:N451,"2016", D4:D451,"Bioquímica y Biología Molecular de plantas y microorganismos")</f>
        <v>3</v>
      </c>
      <c r="AF15" s="5">
        <f>COUNTIFS(   N4:N451,"2017", D4:D451,"Bioquímica y Biología Molecular de plantas y microorganismos")</f>
        <v>0</v>
      </c>
      <c r="AG15" s="5">
        <f>COUNTIFS(   N4:N451,"2018", D4:D451,"Bioquímica y Biología Molecular de plantas y microorganismos")</f>
        <v>0</v>
      </c>
      <c r="AH15" s="5">
        <f>COUNTIFS(   D4:D451,"Bioquímica y Biología Molecular de plantas y microorganismos",G4:G451,"Sí")</f>
        <v>0</v>
      </c>
      <c r="AI15" s="5">
        <f>COUNTIFS(   D4:D451,"Bioquímica y Biología Molecular de plantas y microorganismos",G4:G451,"No")</f>
        <v>3</v>
      </c>
      <c r="AJ15" s="5">
        <f>SUMIFS( E4:E451, D4:D451,"Bioquímica y Biología Molecular de plantas y microorganismos",G4:G451,"Sí")</f>
        <v>0</v>
      </c>
      <c r="AK15" s="5">
        <f>SUMIFS( E4:E451, D4:D451,"Bioquímica y Biología Molecular de plantas y microorganismos",G4:G451,"No")</f>
        <v>52</v>
      </c>
      <c r="AL15" s="5">
        <f>COUNTIFS(   D4:D451,"Bioquímica y Biología Molecular de plantas y microorganismos",H4:H451,"Sí")</f>
        <v>0</v>
      </c>
      <c r="AM15" s="5">
        <f>COUNTIFS(   D4:D451,"Bioquímica y Biología Molecular de plantas y microorganismos",I4:I451,"Sí")</f>
        <v>1</v>
      </c>
      <c r="AN15" s="5">
        <f>COUNTIFS(   D4:D451,"Bioquímica y Biología Molecular de plantas y microorganismos",I4:I451,"No")</f>
        <v>2</v>
      </c>
      <c r="AO15" s="5">
        <f>SUMIFS( E4:E451, D4:D451,"Bioquímica y Biología Molecular de plantas y microorganismos",I4:I451,"Sí")</f>
        <v>23</v>
      </c>
      <c r="AP15" s="5">
        <f>SUMIFS( E4:E451, D4:D451,"Bioquímica y Biología Molecular de plantas y microorganismos",I4:I451,"No")</f>
        <v>29</v>
      </c>
      <c r="AQ15" s="5">
        <f>COUNTIFS(   D4:D451,"Bioquímica y Biología Molecular de plantas y microorganismos",J4:J451,"Sí")</f>
        <v>3</v>
      </c>
      <c r="AR15" s="5">
        <f>COUNTIFS(   D4:D451,"Bioquímica y Biología Molecular de plantas y microorganismos",K4:K451,"Sí")</f>
        <v>0</v>
      </c>
      <c r="AS15" s="5">
        <f>COUNTIFS(   D4:D451,"Bioquímica y Biología Molecular de plantas y microorganismos",L4:L451,"Sí")</f>
        <v>3</v>
      </c>
      <c r="AT15" s="5">
        <f>SUMIFS( E4:E451, D4:D451,"Bioquímica y Biología Molecular de plantas y microorganismos")</f>
        <v>52</v>
      </c>
      <c r="AU15" s="5">
        <f>SUMIFS( E4:E451, F4:F451,"Hombre", D4:D451,"Bioquímica y Biología Molecular de plantas y microorganismos")</f>
        <v>0</v>
      </c>
      <c r="AV15" s="5">
        <f>SUMIFS( E4:E451, F4:F451,"Mujer", D4:D451,"Bioquímica y Biología Molecular de plantas y microorganismos")</f>
        <v>52</v>
      </c>
      <c r="AW15" s="29">
        <f>SUMIFS( E4:E451, A4:A451,"2013", D4:D451,"Bioquímica y Biología Molecular de plantas y microorganismos")</f>
        <v>0</v>
      </c>
      <c r="AX15" s="5">
        <f>SUMIFS( E4:E451, A4:A451,"2014", D4:D451,"Bioquímica y Biología Molecular de plantas y microorganismos")</f>
        <v>0</v>
      </c>
      <c r="AY15" s="5">
        <f>SUMIFS( E4:E451, A4:A451,"2015", D4:D451,"Bioquímica y Biología Molecular de plantas y microorganismos")</f>
        <v>52</v>
      </c>
      <c r="AZ15" s="5">
        <f>SUMIFS( E4:E451, A4:A451,"2016", D4:D451,"Bioquímica y Biología Molecular de plantas y microorganismos")</f>
        <v>0</v>
      </c>
      <c r="BA15" s="5">
        <f>SUMIFS( E4:E451, A4:A451,"2017", D4:D451,"Bioquímica y Biología Molecular de plantas y microorganismos")</f>
        <v>0</v>
      </c>
      <c r="BB15" s="29">
        <f>SUMIFS( E4:E451, N4:N451,"2014", D4:D451,"Bioquímica y Biología Molecular de plantas y microorganismos")</f>
        <v>0</v>
      </c>
      <c r="BC15" s="5">
        <f>SUMIFS( E4:E451, N4:N451,"2015", D4:D451,"Bioquímica y Biología Molecular de plantas y microorganismos")</f>
        <v>0</v>
      </c>
      <c r="BD15" s="5">
        <f>SUMIFS( E4:E451, N4:N451,"2016", D4:D451,"Bioquímica y Biología Molecular de plantas y microorganismos")</f>
        <v>52</v>
      </c>
      <c r="BE15" s="5">
        <f>SUMIFS( E4:E451, N4:N451,"2017", D4:D451,"Bioquímica y Biología Molecular de plantas y microorganismos")</f>
        <v>0</v>
      </c>
      <c r="BF15" s="5">
        <f>SUMIFS( E4:E451, N4:N451,"2018", D4:D451,"Bioquímica y Biología Molecular de plantas y microorganismos")</f>
        <v>0</v>
      </c>
      <c r="BG15" s="23">
        <f>AVERAGEIFS( E4:E451, D4:D451,"Bioquímica y Biología Molecular de plantas y microorganismos")</f>
        <v>17.333333333333332</v>
      </c>
      <c r="BH15" s="23">
        <v>0</v>
      </c>
      <c r="BI15" s="23">
        <v>0</v>
      </c>
      <c r="BJ15" s="23">
        <f>AVERAGEIFS( E4:E451, A4:A451,"2015", D4:D451,"Bioquímica y Biología Molecular de plantas y microorganismos")</f>
        <v>17.333333333333332</v>
      </c>
      <c r="BK15" s="23">
        <v>0</v>
      </c>
      <c r="BL15" s="23">
        <v>0</v>
      </c>
      <c r="BM15" s="23">
        <v>17.333333333333332</v>
      </c>
      <c r="BN15" s="23">
        <v>0</v>
      </c>
      <c r="BO15" s="23">
        <v>0</v>
      </c>
      <c r="BP15" s="23">
        <v>17.333333333333332</v>
      </c>
      <c r="BQ15" s="23">
        <v>0</v>
      </c>
      <c r="BR15" s="23">
        <v>0</v>
      </c>
    </row>
    <row r="16" spans="1:70" ht="15" customHeight="1" x14ac:dyDescent="0.25">
      <c r="A16">
        <v>2017</v>
      </c>
      <c r="B16" t="s">
        <v>4</v>
      </c>
      <c r="C16" t="s">
        <v>5</v>
      </c>
      <c r="D16" t="s">
        <v>10</v>
      </c>
      <c r="E16">
        <v>17</v>
      </c>
      <c r="F16" t="s">
        <v>215</v>
      </c>
      <c r="G16" t="s">
        <v>233</v>
      </c>
      <c r="H16" t="s">
        <v>233</v>
      </c>
      <c r="I16" t="s">
        <v>234</v>
      </c>
      <c r="J16" t="s">
        <v>234</v>
      </c>
      <c r="K16" t="s">
        <v>234</v>
      </c>
      <c r="L16" t="s">
        <v>234</v>
      </c>
      <c r="M16" s="14">
        <v>43017</v>
      </c>
      <c r="N16" s="14" t="str">
        <f t="shared" si="0"/>
        <v>2017</v>
      </c>
      <c r="O16" s="55" t="s">
        <v>15</v>
      </c>
      <c r="P16" s="56"/>
      <c r="Q16" s="56"/>
      <c r="R16" s="56"/>
      <c r="S16" s="56"/>
      <c r="T16" s="57"/>
      <c r="U16" s="5">
        <f>COUNTIFS(   D4:D451,"Bioquímica y Biología molecular en Ciencias de la vida")</f>
        <v>5</v>
      </c>
      <c r="V16" s="5">
        <f>COUNTIFS(   D4:D451,"Bioquímica y Biología molecular en Ciencias de la vida",F4:F451,"Hombre")</f>
        <v>3</v>
      </c>
      <c r="W16" s="5">
        <f>COUNTIFS(   D4:D451,"Bioquímica y Biología molecular en Ciencias de la vida",F4:F451,"Mujer")</f>
        <v>2</v>
      </c>
      <c r="X16" s="29">
        <f>COUNTIFS(   A4:A451,"2013", D4:D451,"Bioquímica y Biología molecular en Ciencias de la vida")</f>
        <v>0</v>
      </c>
      <c r="Y16" s="5">
        <f>COUNTIFS(   A4:A451,"2014", D4:D451,"Bioquímica y Biología molecular en Ciencias de la vida")</f>
        <v>0</v>
      </c>
      <c r="Z16" s="5">
        <f>COUNTIFS(   A4:A451,"2015", D4:D451,"Bioquímica y Biología molecular en Ciencias de la vida")</f>
        <v>0</v>
      </c>
      <c r="AA16" s="5">
        <f>COUNTIFS(   A4:A451,"2016", D4:D451,"Bioquímica y Biología molecular en Ciencias de la vida")</f>
        <v>2</v>
      </c>
      <c r="AB16" s="5">
        <f>COUNTIFS(   A4:A451,"2017", D4:D451,"Bioquímica y Biología molecular en Ciencias de la vida")</f>
        <v>3</v>
      </c>
      <c r="AC16" s="29">
        <f>COUNTIFS(   N4:N451,"2014", D4:D451,"Bioquímica y Biología molecular en Ciencias de la vida")</f>
        <v>0</v>
      </c>
      <c r="AD16" s="5">
        <f>COUNTIFS(   N4:N451,"2015", D4:D451,"Bioquímica y Biología molecular en Ciencias de la vida")</f>
        <v>0</v>
      </c>
      <c r="AE16" s="5">
        <f>COUNTIFS(   N4:N451,"2016", D4:D451,"Bioquímica y Biología molecular en Ciencias de la vida")</f>
        <v>0</v>
      </c>
      <c r="AF16" s="5">
        <f>COUNTIFS(   N4:N451,"2017", D4:D451,"Bioquímica y Biología molecular en Ciencias de la vida")</f>
        <v>3</v>
      </c>
      <c r="AG16" s="5">
        <f>COUNTIFS(   N4:N451,"2018", D4:D451,"Bioquímica y Biología molecular en Ciencias de la vida")</f>
        <v>2</v>
      </c>
      <c r="AH16" s="5">
        <f>COUNTIFS(   D4:D451,"Bioquímica y Biología molecular en Ciencias de la vida",G4:G451,"Sí")</f>
        <v>0</v>
      </c>
      <c r="AI16" s="5">
        <f>COUNTIFS(   D4:D451,"Bioquímica y Biología molecular en Ciencias de la vida",G4:G451,"No")</f>
        <v>5</v>
      </c>
      <c r="AJ16" s="5">
        <f>SUMIFS( E4:E451, D4:D451,"Bioquímica y Biología molecular en Ciencias de la vida",G4:G451,"Sí")</f>
        <v>0</v>
      </c>
      <c r="AK16" s="5">
        <f>SUMIFS( E4:E451, D4:D451,"Bioquímica y Biología molecular en Ciencias de la vida",G4:G451,"No")</f>
        <v>22</v>
      </c>
      <c r="AL16" s="5">
        <f>COUNTIFS(   D4:D451,"Bioquímica y Biología molecular en Ciencias de la vida",H4:H451,"Sí")</f>
        <v>0</v>
      </c>
      <c r="AM16" s="5">
        <f>COUNTIFS(   D4:D451,"Bioquímica y Biología molecular en Ciencias de la vida",I4:I451,"Sí")</f>
        <v>0</v>
      </c>
      <c r="AN16" s="5">
        <f>COUNTIFS(   D4:D451,"Bioquímica y Biología molecular en Ciencias de la vida",I4:I451,"No")</f>
        <v>5</v>
      </c>
      <c r="AO16" s="5">
        <f>SUMIFS( E4:E451, D4:D451,"Bioquímica y Biología molecular en Ciencias de la vida",I4:I451,"Sí")</f>
        <v>0</v>
      </c>
      <c r="AP16" s="5">
        <f>SUMIFS( E4:E451, D4:D451,"Bioquímica y Biología molecular en Ciencias de la vida",I4:I451,"No")</f>
        <v>22</v>
      </c>
      <c r="AQ16" s="5">
        <f>COUNTIFS(   D4:D451,"Bioquímica y Biología molecular en Ciencias de la vida",J4:J451,"Sí")</f>
        <v>4</v>
      </c>
      <c r="AR16" s="5">
        <f>COUNTIFS(   D4:D451,"Bioquímica y Biología molecular en Ciencias de la vida",K4:K451,"Sí")</f>
        <v>4</v>
      </c>
      <c r="AS16" s="5">
        <f>COUNTIFS(   D4:D451,"Bioquímica y Biología molecular en Ciencias de la vida",L4:L451,"Sí")</f>
        <v>4</v>
      </c>
      <c r="AT16" s="5">
        <f>SUMIFS( E4:E451, D4:D451,"Bioquímica y Biología molecular en Ciencias de la vida")</f>
        <v>22</v>
      </c>
      <c r="AU16" s="5">
        <f>SUMIFS( E4:E451, F4:F451,"Hombre", D4:D451,"Bioquímica y Biología molecular en Ciencias de la vida")</f>
        <v>18</v>
      </c>
      <c r="AV16" s="5">
        <f>SUMIFS( E4:E451, F4:F451,"Mujer", D4:D451,"Bioquímica y Biología molecular en Ciencias de la vida")</f>
        <v>4</v>
      </c>
      <c r="AW16" s="29">
        <f>SUMIFS( E4:E451, A4:A451,"2013", D4:D451,"Bioquímica y Biología molecular en Ciencias de la vida")</f>
        <v>0</v>
      </c>
      <c r="AX16" s="5">
        <f>SUMIFS( E4:E451, A4:A451,"2014", D4:D451,"Bioquímica y Biología molecular en Ciencias de la vida")</f>
        <v>0</v>
      </c>
      <c r="AY16" s="5">
        <f>SUMIFS( E4:E451, A4:A451,"2015", D4:D451,"Bioquímica y Biología molecular en Ciencias de la vida")</f>
        <v>0</v>
      </c>
      <c r="AZ16" s="5">
        <f>SUMIFS( E4:E451, A4:A451,"2016", D4:D451,"Bioquímica y Biología molecular en Ciencias de la vida")</f>
        <v>5</v>
      </c>
      <c r="BA16" s="5">
        <f>SUMIFS( E4:E451, A4:A451,"2017", D4:D451,"Bioquímica y Biología molecular en Ciencias de la vida")</f>
        <v>17</v>
      </c>
      <c r="BB16" s="29">
        <f>SUMIFS( E4:E451, N4:N451,"2014", D4:D451,"Bioquímica y Biología molecular en Ciencias de la vida")</f>
        <v>0</v>
      </c>
      <c r="BC16" s="5">
        <f>SUMIFS( E4:E451, N4:N451,"2015", D4:D451,"Bioquímica y Biología molecular en Ciencias de la vida")</f>
        <v>0</v>
      </c>
      <c r="BD16" s="5">
        <f>SUMIFS( E4:E451, N4:N451,"2016", D4:D451,"Bioquímica y Biología molecular en Ciencias de la vida")</f>
        <v>0</v>
      </c>
      <c r="BE16" s="5">
        <f>SUMIFS( E4:E451, N4:N451,"2017", D4:D451,"Bioquímica y Biología molecular en Ciencias de la vida")</f>
        <v>12</v>
      </c>
      <c r="BF16" s="5">
        <f>SUMIFS( E4:E451, N4:N451,"2018", D4:D451,"Bioquímica y Biología molecular en Ciencias de la vida")</f>
        <v>10</v>
      </c>
      <c r="BG16" s="23">
        <f>AVERAGEIFS( E4:E451, D4:D451,"Bioquímica y Biología molecular en Ciencias de la vida")</f>
        <v>4.4000000000000004</v>
      </c>
      <c r="BH16" s="23">
        <v>0</v>
      </c>
      <c r="BI16" s="23">
        <v>0</v>
      </c>
      <c r="BJ16" s="23">
        <v>0</v>
      </c>
      <c r="BK16" s="23">
        <f>AVERAGEIFS( E4:E451, A4:A451,"2016", D4:D451,"Bioquímica y Biología molecular en Ciencias de la vida")</f>
        <v>2.5</v>
      </c>
      <c r="BL16" s="23">
        <f>AVERAGEIFS( E4:E451, A4:A451,"2017", D4:D451,"Bioquímica y Biología molecular en Ciencias de la vida")</f>
        <v>5.666666666666667</v>
      </c>
      <c r="BM16" s="23">
        <v>4.4000000000000004</v>
      </c>
      <c r="BN16" s="23">
        <v>0</v>
      </c>
      <c r="BO16" s="23">
        <v>0</v>
      </c>
      <c r="BP16" s="23">
        <v>0</v>
      </c>
      <c r="BQ16" s="23">
        <v>2.5</v>
      </c>
      <c r="BR16" s="23">
        <v>5.666666666666667</v>
      </c>
    </row>
    <row r="17" spans="1:70" ht="15" customHeight="1" x14ac:dyDescent="0.25">
      <c r="A17">
        <v>2016</v>
      </c>
      <c r="B17" t="s">
        <v>4</v>
      </c>
      <c r="C17" t="s">
        <v>5</v>
      </c>
      <c r="D17" t="s">
        <v>8</v>
      </c>
      <c r="E17">
        <v>3</v>
      </c>
      <c r="F17" t="s">
        <v>215</v>
      </c>
      <c r="G17" t="s">
        <v>233</v>
      </c>
      <c r="H17" t="s">
        <v>233</v>
      </c>
      <c r="I17" t="s">
        <v>233</v>
      </c>
      <c r="J17" t="s">
        <v>234</v>
      </c>
      <c r="K17" t="s">
        <v>234</v>
      </c>
      <c r="L17" t="s">
        <v>234</v>
      </c>
      <c r="M17" s="14">
        <v>42930</v>
      </c>
      <c r="N17" s="14" t="str">
        <f t="shared" si="0"/>
        <v>2017</v>
      </c>
      <c r="O17" s="58" t="s">
        <v>45</v>
      </c>
      <c r="P17" s="59"/>
      <c r="Q17" s="59"/>
      <c r="R17" s="59"/>
      <c r="S17" s="59"/>
      <c r="T17" s="60"/>
      <c r="U17" s="4">
        <f>COUNTIFS(   C4:C451,"Farmacia")</f>
        <v>27</v>
      </c>
      <c r="V17" s="4">
        <f>COUNTIFS(   C4:C451,"Farmacia",F4:F451,"Hombre")</f>
        <v>13</v>
      </c>
      <c r="W17" s="4">
        <f>COUNTIFS(   C4:C451,"Farmacia",F4:F451,"Mujer")</f>
        <v>14</v>
      </c>
      <c r="X17" s="28">
        <f>COUNTIFS(   A4:A451,"2013", C4:C451,"Farmacia")</f>
        <v>0</v>
      </c>
      <c r="Y17" s="4">
        <f>COUNTIFS(   A4:A451,"2014", C4:C451,"Farmacia")</f>
        <v>2</v>
      </c>
      <c r="Z17" s="4">
        <f>COUNTIFS(   A4:A451,"2015", C4:C451,"Farmacia")</f>
        <v>4</v>
      </c>
      <c r="AA17" s="4">
        <f>COUNTIFS(   A4:A451,"2016", C4:C451,"Farmacia")</f>
        <v>11</v>
      </c>
      <c r="AB17" s="4">
        <f>COUNTIFS(   A4:A451,"2017", C4:C451,"Farmacia")</f>
        <v>10</v>
      </c>
      <c r="AC17" s="28">
        <f>COUNTIFS(   N4:N451,"2014", C4:C451,"Farmacia")</f>
        <v>2</v>
      </c>
      <c r="AD17" s="4">
        <f>COUNTIFS(   N4:N451,"2015", C4:C451,"Farmacia")</f>
        <v>1</v>
      </c>
      <c r="AE17" s="4">
        <f>COUNTIFS(   N4:N451,"2016", C4:C451,"Farmacia")</f>
        <v>5</v>
      </c>
      <c r="AF17" s="4">
        <f>COUNTIFS(   N4:N451,"2017", C4:C451,"Farmacia")</f>
        <v>13</v>
      </c>
      <c r="AG17" s="4">
        <f>COUNTIFS(   N4:N451,"2018", C4:C451,"Farmacia")</f>
        <v>6</v>
      </c>
      <c r="AH17" s="4">
        <f>COUNTIFS(   C4:C451,"Farmacia",G4:G451,"Sí")</f>
        <v>1</v>
      </c>
      <c r="AI17" s="4">
        <f>COUNTIFS(   C4:C451,"Farmacia",G4:G451,"No")</f>
        <v>26</v>
      </c>
      <c r="AJ17" s="4">
        <f>SUMIFS( E4:E451, C4:C451,"Farmacia",G4:G451,"Sí")</f>
        <v>6</v>
      </c>
      <c r="AK17" s="4">
        <f>SUMIFS( E4:E451, C4:C451,"Farmacia",G4:G451,"No")</f>
        <v>176</v>
      </c>
      <c r="AL17" s="4">
        <f>COUNTIFS(   C4:C451,"Farmacia",H4:H451,"Sí")</f>
        <v>0</v>
      </c>
      <c r="AM17" s="4">
        <f>COUNTIFS(   C4:C451,"Farmacia",I4:I451,"Sí")</f>
        <v>5</v>
      </c>
      <c r="AN17" s="4">
        <f>COUNTIFS(   C4:C451,"Farmacia",I4:I451,"No")</f>
        <v>22</v>
      </c>
      <c r="AO17" s="4">
        <f>SUMIFS( E4:E451, C4:C451,"Farmacia",I4:I451,"Sí")</f>
        <v>37</v>
      </c>
      <c r="AP17" s="4">
        <f>SUMIFS( E4:E451, C4:C451,"Farmacia",I4:I451,"No")</f>
        <v>145</v>
      </c>
      <c r="AQ17" s="4">
        <f>COUNTIFS(   C4:C451,"Farmacia",J4:J451,"Sí")</f>
        <v>26</v>
      </c>
      <c r="AR17" s="4">
        <f>COUNTIFS(   C4:C451,"Farmacia",K4:K451,"Sí")</f>
        <v>6</v>
      </c>
      <c r="AS17" s="4">
        <f>COUNTIFS(   C4:C451,"Farmacia",L4:L451,"Sí")</f>
        <v>26</v>
      </c>
      <c r="AT17" s="4">
        <f>SUMIFS( E4:E451, C4:C451,"Farmacia")</f>
        <v>182</v>
      </c>
      <c r="AU17" s="4">
        <f>SUMIFS( E4:E451, F4:F451,"Hombre", C4:C451,"Farmacia")</f>
        <v>87</v>
      </c>
      <c r="AV17" s="4">
        <f>SUMIFS( E4:E451, F4:F451,"Mujer", C4:C451,"Farmacia")</f>
        <v>95</v>
      </c>
      <c r="AW17" s="28">
        <f>SUMIFS( E4:E451, A4:A451,"2013", C4:C451,"Farmacia")</f>
        <v>0</v>
      </c>
      <c r="AX17" s="4">
        <f>SUMIFS( E4:E451, A4:A451,"2014", C4:C451,"Farmacia")</f>
        <v>10</v>
      </c>
      <c r="AY17" s="4">
        <f>SUMIFS( E4:E451, A4:A451,"2015", C4:C451,"Farmacia")</f>
        <v>31</v>
      </c>
      <c r="AZ17" s="4">
        <f>SUMIFS( E4:E451, A4:A451,"2016", C4:C451,"Farmacia")</f>
        <v>82</v>
      </c>
      <c r="BA17" s="4">
        <f>SUMIFS( E4:E451, A4:A451,"2017", C4:C451,"Farmacia")</f>
        <v>59</v>
      </c>
      <c r="BB17" s="28">
        <f>SUMIFS( E4:E451, N4:N451,"2014", C4:C451,"Farmacia")</f>
        <v>10</v>
      </c>
      <c r="BC17" s="4">
        <f>SUMIFS( E4:E451, N4:N451,"2015", C4:C451,"Farmacia")</f>
        <v>7</v>
      </c>
      <c r="BD17" s="4">
        <f>SUMIFS( E4:E451, N4:N451,"2016", C4:C451,"Farmacia")</f>
        <v>33</v>
      </c>
      <c r="BE17" s="4">
        <f>SUMIFS( E4:E451, N4:N451,"2017", C4:C451,"Farmacia")</f>
        <v>86</v>
      </c>
      <c r="BF17" s="4">
        <f>SUMIFS( E4:E451, N4:N451,"2018", C4:C451,"Farmacia")</f>
        <v>46</v>
      </c>
      <c r="BG17" s="22">
        <f>AVERAGEIFS( E4:E451, C4:C451,"Farmacia")</f>
        <v>6.7407407407407405</v>
      </c>
      <c r="BH17" s="22">
        <v>0</v>
      </c>
      <c r="BI17" s="22">
        <f>AVERAGEIFS( E4:E451, A4:A451,"2014", C4:C451,"Farmacia")</f>
        <v>5</v>
      </c>
      <c r="BJ17" s="22">
        <f>AVERAGEIFS( E4:E451, A4:A451,"2015", C4:C451,"Farmacia")</f>
        <v>7.75</v>
      </c>
      <c r="BK17" s="22">
        <f>AVERAGEIFS( E4:E451, A4:A451,"2016", C4:C451,"Farmacia")</f>
        <v>7.4545454545454541</v>
      </c>
      <c r="BL17" s="22">
        <f>AVERAGEIFS( E4:E451, A4:A451,"2017", C4:C451,"Farmacia")</f>
        <v>5.9</v>
      </c>
      <c r="BM17" s="22">
        <f>AVERAGE(AT18:AT21)</f>
        <v>45.5</v>
      </c>
      <c r="BN17" s="22">
        <f>AVERAGE(AW18:AW21)</f>
        <v>0</v>
      </c>
      <c r="BO17" s="22">
        <f>AVERAGE(AX18:AX21)</f>
        <v>2.5</v>
      </c>
      <c r="BP17" s="22">
        <f>AVERAGE(AY18:AY21)</f>
        <v>7.75</v>
      </c>
      <c r="BQ17" s="22">
        <f>AVERAGE(AZ18:AZ21)</f>
        <v>20.5</v>
      </c>
      <c r="BR17" s="22">
        <f>AVERAGE(BA18:BA21)</f>
        <v>14.75</v>
      </c>
    </row>
    <row r="18" spans="1:70" ht="15" customHeight="1" x14ac:dyDescent="0.25">
      <c r="A18">
        <v>2016</v>
      </c>
      <c r="B18" t="s">
        <v>4</v>
      </c>
      <c r="C18" t="s">
        <v>5</v>
      </c>
      <c r="D18" t="s">
        <v>12</v>
      </c>
      <c r="E18">
        <v>4</v>
      </c>
      <c r="F18" t="s">
        <v>215</v>
      </c>
      <c r="G18" t="s">
        <v>233</v>
      </c>
      <c r="H18" t="s">
        <v>233</v>
      </c>
      <c r="I18" t="s">
        <v>233</v>
      </c>
      <c r="J18" t="s">
        <v>234</v>
      </c>
      <c r="K18" t="s">
        <v>234</v>
      </c>
      <c r="L18" t="s">
        <v>234</v>
      </c>
      <c r="M18" s="14">
        <v>42921</v>
      </c>
      <c r="N18" s="14" t="str">
        <f t="shared" si="0"/>
        <v>2017</v>
      </c>
      <c r="O18" s="55" t="s">
        <v>22</v>
      </c>
      <c r="P18" s="56"/>
      <c r="Q18" s="56"/>
      <c r="R18" s="56"/>
      <c r="S18" s="56"/>
      <c r="T18" s="57"/>
      <c r="U18" s="5">
        <f>COUNTIFS(   D4:D451,"Farmacia social")</f>
        <v>13</v>
      </c>
      <c r="V18" s="5">
        <f>COUNTIFS(   D4:D451,"Farmacia social",F4:F451,"Hombre")</f>
        <v>6</v>
      </c>
      <c r="W18" s="5">
        <f>COUNTIFS(   D4:D451,"Farmacia social",F4:F451,"Mujer")</f>
        <v>7</v>
      </c>
      <c r="X18" s="29">
        <f>COUNTIFS(   A4:A451,"2013", D4:D451,"Farmacia social")</f>
        <v>0</v>
      </c>
      <c r="Y18" s="5">
        <f>COUNTIFS(   A4:A451,"2014", D4:D451,"Farmacia social")</f>
        <v>1</v>
      </c>
      <c r="Z18" s="5">
        <f>COUNTIFS(   A4:A451,"2015", D4:D451,"Farmacia social")</f>
        <v>3</v>
      </c>
      <c r="AA18" s="5">
        <f>COUNTIFS(   A4:A451,"2016", D4:D451,"Farmacia social")</f>
        <v>5</v>
      </c>
      <c r="AB18" s="5">
        <f>COUNTIFS(   A4:A451,"2017", D4:D451,"Farmacia social")</f>
        <v>4</v>
      </c>
      <c r="AC18" s="29">
        <f>COUNTIFS(   N4:N451,"2014", D4:D451,"Farmacia social")</f>
        <v>1</v>
      </c>
      <c r="AD18" s="5">
        <f>COUNTIFS(   N4:N451,"2015", D4:D451,"Farmacia social")</f>
        <v>1</v>
      </c>
      <c r="AE18" s="5">
        <f>COUNTIFS(   N4:N451,"2016", D4:D451,"Farmacia social")</f>
        <v>2</v>
      </c>
      <c r="AF18" s="5">
        <f>COUNTIFS(   N4:N451,"2017", D4:D451,"Farmacia social")</f>
        <v>7</v>
      </c>
      <c r="AG18" s="5">
        <f>COUNTIFS(   N4:N451,"2018", D4:D451,"Farmacia social")</f>
        <v>2</v>
      </c>
      <c r="AH18" s="5">
        <f>COUNTIFS(   D4:D451,"Farmacia social",G4:G451,"Sí")</f>
        <v>0</v>
      </c>
      <c r="AI18" s="5">
        <f>COUNTIFS(   D4:D451,"Farmacia social",G4:G451,"No")</f>
        <v>13</v>
      </c>
      <c r="AJ18" s="5">
        <f>SUMIFS( E4:E451, D4:D451,"Farmacia social",G4:G451,"Sí")</f>
        <v>0</v>
      </c>
      <c r="AK18" s="5">
        <f>SUMIFS( E4:E451, D4:D451,"Farmacia social",G4:G451,"No")</f>
        <v>102</v>
      </c>
      <c r="AL18" s="5">
        <f>COUNTIFS(   D4:D451,"Farmacia social",H4:H451,"Sí")</f>
        <v>0</v>
      </c>
      <c r="AM18" s="5">
        <f>COUNTIFS(   D4:D451,"Farmacia social",I4:I451,"Sí")</f>
        <v>0</v>
      </c>
      <c r="AN18" s="5">
        <f>COUNTIFS(   D4:D451,"Farmacia social",I4:I451,"No")</f>
        <v>13</v>
      </c>
      <c r="AO18" s="5">
        <f>SUMIFS( E4:E451, D4:D451,"Farmacia social",I4:I451,"Sí")</f>
        <v>0</v>
      </c>
      <c r="AP18" s="5">
        <f>SUMIFS( E4:E451, D4:D451,"Farmacia social",I4:I451,"No")</f>
        <v>102</v>
      </c>
      <c r="AQ18" s="5">
        <f>COUNTIFS(   D4:D451,"Farmacia social",J4:J451,"Sí")</f>
        <v>13</v>
      </c>
      <c r="AR18" s="5">
        <f>COUNTIFS(   D4:D451,"Farmacia social",K4:K451,"Sí")</f>
        <v>4</v>
      </c>
      <c r="AS18" s="5">
        <f>COUNTIFS(   D4:D451,"Farmacia social",L4:L451,"Sí")</f>
        <v>13</v>
      </c>
      <c r="AT18" s="5">
        <f>SUMIFS( E4:E451, D4:D451,"Farmacia social")</f>
        <v>102</v>
      </c>
      <c r="AU18" s="5">
        <f>SUMIFS( E4:E451, F4:F451,"Hombre", D4:D451,"Farmacia social")</f>
        <v>42</v>
      </c>
      <c r="AV18" s="5">
        <f>SUMIFS( E4:E451, F4:F451,"Mujer", D4:D451,"Farmacia social")</f>
        <v>60</v>
      </c>
      <c r="AW18" s="29">
        <f>SUMIFS( E4:E451, A4:A451,"2013", D4:D451,"Farmacia social")</f>
        <v>0</v>
      </c>
      <c r="AX18" s="5">
        <f>SUMIFS( E4:E451, A4:A451,"2014", D4:D451,"Farmacia social")</f>
        <v>5</v>
      </c>
      <c r="AY18" s="5">
        <f>SUMIFS( E4:E451, A4:A451,"2015", D4:D451,"Farmacia social")</f>
        <v>22</v>
      </c>
      <c r="AZ18" s="5">
        <f>SUMIFS( E4:E451, A4:A451,"2016", D4:D451,"Farmacia social")</f>
        <v>48</v>
      </c>
      <c r="BA18" s="5">
        <f>SUMIFS( E4:E451, A4:A451,"2017", D4:D451,"Farmacia social")</f>
        <v>27</v>
      </c>
      <c r="BB18" s="29">
        <f>SUMIFS( E4:E451, N4:N451,"2014", D4:D451,"Farmacia social")</f>
        <v>5</v>
      </c>
      <c r="BC18" s="5">
        <f>SUMIFS( E4:E451, N4:N451,"2015", D4:D451,"Farmacia social")</f>
        <v>7</v>
      </c>
      <c r="BD18" s="5">
        <f>SUMIFS( E4:E451, N4:N451,"2016", D4:D451,"Farmacia social")</f>
        <v>15</v>
      </c>
      <c r="BE18" s="5">
        <f>SUMIFS( E4:E451, N4:N451,"2017", D4:D451,"Farmacia social")</f>
        <v>58</v>
      </c>
      <c r="BF18" s="5">
        <f>SUMIFS( E4:E451, N4:N451,"2018", D4:D451,"Farmacia social")</f>
        <v>17</v>
      </c>
      <c r="BG18" s="23">
        <f>AVERAGEIFS( E4:E451, D4:D451,"Farmacia social")</f>
        <v>7.8461538461538458</v>
      </c>
      <c r="BH18" s="23">
        <v>0</v>
      </c>
      <c r="BI18" s="23">
        <f>AVERAGEIFS( E4:E451, A4:A451,"2014", D4:D451,"Farmacia social")</f>
        <v>5</v>
      </c>
      <c r="BJ18" s="23">
        <f>AVERAGEIFS( E4:E451, A4:A451,"2015", D4:D451,"Farmacia social")</f>
        <v>7.333333333333333</v>
      </c>
      <c r="BK18" s="23">
        <f>AVERAGEIFS( E4:E451, A4:A451,"2016", D4:D451,"Farmacia social")</f>
        <v>9.6</v>
      </c>
      <c r="BL18" s="23">
        <f>AVERAGEIFS( E4:E451, A4:A451,"2017", D4:D451,"Farmacia social")</f>
        <v>6.75</v>
      </c>
      <c r="BM18" s="23">
        <v>7.8461538461538458</v>
      </c>
      <c r="BN18" s="23">
        <v>0</v>
      </c>
      <c r="BO18" s="23">
        <v>5</v>
      </c>
      <c r="BP18" s="23">
        <v>7.333333333333333</v>
      </c>
      <c r="BQ18" s="23">
        <v>9.6</v>
      </c>
      <c r="BR18" s="23">
        <v>6.75</v>
      </c>
    </row>
    <row r="19" spans="1:70" ht="15" customHeight="1" x14ac:dyDescent="0.25">
      <c r="A19">
        <v>2016</v>
      </c>
      <c r="B19" t="s">
        <v>4</v>
      </c>
      <c r="C19" t="s">
        <v>5</v>
      </c>
      <c r="D19" t="s">
        <v>13</v>
      </c>
      <c r="E19" s="17">
        <v>2</v>
      </c>
      <c r="F19" t="s">
        <v>215</v>
      </c>
      <c r="G19" t="s">
        <v>233</v>
      </c>
      <c r="H19" t="s">
        <v>233</v>
      </c>
      <c r="I19" t="s">
        <v>233</v>
      </c>
      <c r="J19" t="s">
        <v>234</v>
      </c>
      <c r="K19" t="s">
        <v>233</v>
      </c>
      <c r="L19" t="s">
        <v>234</v>
      </c>
      <c r="M19" s="14">
        <v>42914</v>
      </c>
      <c r="N19" s="14" t="str">
        <f t="shared" si="0"/>
        <v>2017</v>
      </c>
      <c r="O19" s="55" t="s">
        <v>21</v>
      </c>
      <c r="P19" s="56"/>
      <c r="Q19" s="56"/>
      <c r="R19" s="56"/>
      <c r="S19" s="56"/>
      <c r="T19" s="57"/>
      <c r="U19" s="5">
        <f>COUNTIFS(   D4:D451,"Nuevas dianas terapéuticas")</f>
        <v>3</v>
      </c>
      <c r="V19" s="5">
        <f>COUNTIFS(   D4:D451,"Nuevas dianas terapéuticas",F4:F451,"Hombre")</f>
        <v>1</v>
      </c>
      <c r="W19" s="5">
        <f>COUNTIFS(   D4:D451,"Nuevas dianas terapéuticas",F4:F451,"Mujer")</f>
        <v>2</v>
      </c>
      <c r="X19" s="29">
        <f>COUNTIFS(   A4:A451,"2013", D4:D451,"Nuevas dianas terapéuticas")</f>
        <v>0</v>
      </c>
      <c r="Y19" s="5">
        <f>COUNTIFS(   A4:A451,"2014", D4:D451,"Nuevas dianas terapéuticas")</f>
        <v>0</v>
      </c>
      <c r="Z19" s="5">
        <f>COUNTIFS(   A4:A451,"2015", D4:D451,"Nuevas dianas terapéuticas")</f>
        <v>0</v>
      </c>
      <c r="AA19" s="5">
        <f>COUNTIFS(   A4:A451,"2016", D4:D451,"Nuevas dianas terapéuticas")</f>
        <v>2</v>
      </c>
      <c r="AB19" s="5">
        <f>COUNTIFS(   A4:A451,"2017", D4:D451,"Nuevas dianas terapéuticas")</f>
        <v>1</v>
      </c>
      <c r="AC19" s="29">
        <f>COUNTIFS(   N4:N451,"2014", D4:D451,"Nuevas dianas terapéuticas")</f>
        <v>0</v>
      </c>
      <c r="AD19" s="5">
        <f>COUNTIFS(   N4:N451,"2015", D4:D451,"Nuevas dianas terapéuticas")</f>
        <v>0</v>
      </c>
      <c r="AE19" s="5">
        <f>COUNTIFS(   N4:N451,"2016", D4:D451,"Nuevas dianas terapéuticas")</f>
        <v>0</v>
      </c>
      <c r="AF19" s="5">
        <f>COUNTIFS(   N4:N451,"2017", D4:D451,"Nuevas dianas terapéuticas")</f>
        <v>2</v>
      </c>
      <c r="AG19" s="5">
        <f>COUNTIFS(   N4:N451,"2018", D4:D451,"Nuevas dianas terapéuticas")</f>
        <v>1</v>
      </c>
      <c r="AH19" s="5">
        <f>COUNTIFS(   D4:D451,"Nuevas dianas terapéuticas",G4:G451,"Sí")</f>
        <v>0</v>
      </c>
      <c r="AI19" s="5">
        <f>COUNTIFS(   D4:D451,"Nuevas dianas terapéuticas",G4:G451,"No")</f>
        <v>3</v>
      </c>
      <c r="AJ19" s="5">
        <f>SUMIFS( E4:E451, D4:D451,"Nuevas dianas terapéuticas",G4:G451,"Sí")</f>
        <v>0</v>
      </c>
      <c r="AK19" s="5">
        <f>SUMIFS( E4:E451, D4:D451,"Nuevas dianas terapéuticas",G4:G451,"No")</f>
        <v>34</v>
      </c>
      <c r="AL19" s="5">
        <f>COUNTIFS(   D4:D451,"Nuevas dianas terapéuticas",H4:H451,"Sí")</f>
        <v>0</v>
      </c>
      <c r="AM19" s="5">
        <f>COUNTIFS(   D4:D451,"Nuevas dianas terapéuticas",I4:I451,"Sí")</f>
        <v>1</v>
      </c>
      <c r="AN19" s="5">
        <f>COUNTIFS(   D4:D451,"Nuevas dianas terapéuticas",I4:I451,"No")</f>
        <v>2</v>
      </c>
      <c r="AO19" s="5">
        <f>SUMIFS( E4:E451, D4:D451,"Nuevas dianas terapéuticas",I4:I451,"Sí")</f>
        <v>18</v>
      </c>
      <c r="AP19" s="5">
        <f>SUMIFS( E4:E451, D4:D451,"Nuevas dianas terapéuticas",I4:I451,"No")</f>
        <v>16</v>
      </c>
      <c r="AQ19" s="5">
        <f>COUNTIFS(   D4:D451,"Nuevas dianas terapéuticas",J4:J451,"Sí")</f>
        <v>3</v>
      </c>
      <c r="AR19" s="5">
        <f>COUNTIFS(   D4:D451,"Nuevas dianas terapéuticas",K4:K451,"Sí")</f>
        <v>1</v>
      </c>
      <c r="AS19" s="5">
        <f>COUNTIFS(   D4:D451,"Nuevas dianas terapéuticas",L4:L451,"Sí")</f>
        <v>3</v>
      </c>
      <c r="AT19" s="5">
        <f>SUMIFS( E4:E451, D4:D451,"Nuevas dianas terapéuticas")</f>
        <v>34</v>
      </c>
      <c r="AU19" s="5">
        <f>SUMIFS( E4:E451, F4:F451,"Hombre", D4:D451,"Nuevas dianas terapéuticas")</f>
        <v>14</v>
      </c>
      <c r="AV19" s="5">
        <f>SUMIFS( E4:E451, F4:F451,"Mujer", D4:D451,"Nuevas dianas terapéuticas")</f>
        <v>20</v>
      </c>
      <c r="AW19" s="29">
        <f>SUMIFS( E4:E451, A4:A451,"2013", D4:D451,"Nuevas dianas terapéuticas")</f>
        <v>0</v>
      </c>
      <c r="AX19" s="5">
        <f>SUMIFS( E4:E451, A4:A451,"2014", D4:D451,"Nuevas dianas terapéuticas")</f>
        <v>0</v>
      </c>
      <c r="AY19" s="5">
        <f>SUMIFS( E4:E451, A4:A451,"2015", D4:D451,"Nuevas dianas terapéuticas")</f>
        <v>0</v>
      </c>
      <c r="AZ19" s="5">
        <f>SUMIFS( E4:E451, A4:A451,"2016", D4:D451,"Nuevas dianas terapéuticas")</f>
        <v>20</v>
      </c>
      <c r="BA19" s="5">
        <f>SUMIFS( E4:E451, A4:A451,"2017", D4:D451,"Nuevas dianas terapéuticas")</f>
        <v>14</v>
      </c>
      <c r="BB19" s="29">
        <f>SUMIFS( E4:E451, N4:N451,"2014", D4:D451,"Nuevas dianas terapéuticas")</f>
        <v>0</v>
      </c>
      <c r="BC19" s="5">
        <f>SUMIFS( E4:E451, N4:N451,"2015", D4:D451,"Nuevas dianas terapéuticas")</f>
        <v>0</v>
      </c>
      <c r="BD19" s="5">
        <f>SUMIFS( E4:E451, N4:N451,"2016", D4:D451,"Nuevas dianas terapéuticas")</f>
        <v>0</v>
      </c>
      <c r="BE19" s="5">
        <f>SUMIFS( E4:E451, N4:N451,"2017", D4:D451,"Nuevas dianas terapéuticas")</f>
        <v>20</v>
      </c>
      <c r="BF19" s="5">
        <f>SUMIFS( E4:E451, N4:N451,"2018", D4:D451,"Nuevas dianas terapéuticas")</f>
        <v>14</v>
      </c>
      <c r="BG19" s="23">
        <f>AVERAGEIFS( E4:E451, D4:D451,"Nuevas dianas terapéuticas")</f>
        <v>11.333333333333334</v>
      </c>
      <c r="BH19" s="23">
        <v>0</v>
      </c>
      <c r="BI19" s="23">
        <v>0</v>
      </c>
      <c r="BJ19" s="23">
        <v>0</v>
      </c>
      <c r="BK19" s="23">
        <f>AVERAGEIFS( E4:E451, A4:A451,"2016", D4:D451,"Nuevas dianas terapéuticas")</f>
        <v>10</v>
      </c>
      <c r="BL19" s="23">
        <f>AVERAGEIFS( E4:E451, A4:A451,"2017", D4:D451,"Nuevas dianas terapéuticas")</f>
        <v>14</v>
      </c>
      <c r="BM19" s="23">
        <v>11.333333333333334</v>
      </c>
      <c r="BN19" s="23">
        <v>0</v>
      </c>
      <c r="BO19" s="23">
        <v>0</v>
      </c>
      <c r="BP19" s="23">
        <v>0</v>
      </c>
      <c r="BQ19" s="23">
        <v>10</v>
      </c>
      <c r="BR19" s="23">
        <v>14</v>
      </c>
    </row>
    <row r="20" spans="1:70" ht="15" customHeight="1" x14ac:dyDescent="0.25">
      <c r="A20">
        <v>2016</v>
      </c>
      <c r="B20" t="s">
        <v>4</v>
      </c>
      <c r="C20" t="s">
        <v>5</v>
      </c>
      <c r="D20" t="s">
        <v>10</v>
      </c>
      <c r="E20">
        <v>1</v>
      </c>
      <c r="F20" t="s">
        <v>215</v>
      </c>
      <c r="G20" t="s">
        <v>233</v>
      </c>
      <c r="H20" t="s">
        <v>233</v>
      </c>
      <c r="I20" t="s">
        <v>233</v>
      </c>
      <c r="J20" t="s">
        <v>234</v>
      </c>
      <c r="K20" t="s">
        <v>233</v>
      </c>
      <c r="L20" t="s">
        <v>234</v>
      </c>
      <c r="M20" s="14">
        <v>42888</v>
      </c>
      <c r="N20" s="14" t="str">
        <f t="shared" si="0"/>
        <v>2017</v>
      </c>
      <c r="O20" s="55" t="s">
        <v>19</v>
      </c>
      <c r="P20" s="56"/>
      <c r="Q20" s="56"/>
      <c r="R20" s="56"/>
      <c r="S20" s="56"/>
      <c r="T20" s="57"/>
      <c r="U20" s="5">
        <f>COUNTIFS(   D4:D451,"Química del medicamento")</f>
        <v>6</v>
      </c>
      <c r="V20" s="5">
        <f>COUNTIFS(   D4:D451,"Química del medicamento",F4:F451,"Hombre")</f>
        <v>4</v>
      </c>
      <c r="W20" s="5">
        <f>COUNTIFS(   D4:D451,"Química del medicamento",F4:F451,"Mujer")</f>
        <v>2</v>
      </c>
      <c r="X20" s="29">
        <f>COUNTIFS(   A4:A451,"2013", D4:D451,"Química del medicamento")</f>
        <v>0</v>
      </c>
      <c r="Y20" s="5">
        <f>COUNTIFS(   A4:A451,"2014", D4:D451,"Química del medicamento")</f>
        <v>0</v>
      </c>
      <c r="Z20" s="5">
        <f>COUNTIFS(   A4:A451,"2015", D4:D451,"Química del medicamento")</f>
        <v>1</v>
      </c>
      <c r="AA20" s="5">
        <f>COUNTIFS(   A4:A451,"2016", D4:D451,"Química del medicamento")</f>
        <v>4</v>
      </c>
      <c r="AB20" s="5">
        <f>COUNTIFS(   A4:A451,"2017", D4:D451,"Química del medicamento")</f>
        <v>1</v>
      </c>
      <c r="AC20" s="29">
        <f>COUNTIFS(   N4:N451,"2014", D4:D451,"Química del medicamento")</f>
        <v>0</v>
      </c>
      <c r="AD20" s="5">
        <f>COUNTIFS(   N4:N451,"2015", D4:D451,"Química del medicamento")</f>
        <v>0</v>
      </c>
      <c r="AE20" s="5">
        <f>COUNTIFS(   N4:N451,"2016", D4:D451,"Química del medicamento")</f>
        <v>3</v>
      </c>
      <c r="AF20" s="5">
        <f>COUNTIFS(   N4:N451,"2017", D4:D451,"Química del medicamento")</f>
        <v>2</v>
      </c>
      <c r="AG20" s="5">
        <f>COUNTIFS(   N4:N451,"2018", D4:D451,"Química del medicamento")</f>
        <v>1</v>
      </c>
      <c r="AH20" s="5">
        <f>COUNTIFS(   D4:D451,"Química del medicamento",G4:G451,"Sí")</f>
        <v>1</v>
      </c>
      <c r="AI20" s="5">
        <f>COUNTIFS(   D4:D451,"Química del medicamento",G4:G451,"No")</f>
        <v>5</v>
      </c>
      <c r="AJ20" s="5">
        <f>SUMIFS( E4:E451, D4:D451,"Química del medicamento",G4:G451,"Sí")</f>
        <v>6</v>
      </c>
      <c r="AK20" s="5">
        <f>SUMIFS( E4:E451, D4:D451,"Química del medicamento",G4:G451,"No")</f>
        <v>24</v>
      </c>
      <c r="AL20" s="5">
        <f>COUNTIFS(   D4:D451,"Química del medicamento",H4:H451,"Sí")</f>
        <v>0</v>
      </c>
      <c r="AM20" s="5">
        <f>COUNTIFS(   D4:D451,"Química del medicamento",I4:I451,"Sí")</f>
        <v>3</v>
      </c>
      <c r="AN20" s="5">
        <f>COUNTIFS(   D4:D451,"Química del medicamento",I4:I451,"No")</f>
        <v>3</v>
      </c>
      <c r="AO20" s="5">
        <f>SUMIFS( E4:E451, D4:D451,"Química del medicamento",I4:I451,"Sí")</f>
        <v>14</v>
      </c>
      <c r="AP20" s="5">
        <f>SUMIFS( E4:E451, D4:D451,"Química del medicamento",I4:I451,"No")</f>
        <v>16</v>
      </c>
      <c r="AQ20" s="5">
        <f>COUNTIFS(   D4:D451,"Química del medicamento",J4:J451,"Sí")</f>
        <v>5</v>
      </c>
      <c r="AR20" s="5">
        <f>COUNTIFS(   D4:D451,"Química del medicamento",K4:K451,"Sí")</f>
        <v>1</v>
      </c>
      <c r="AS20" s="5">
        <f>COUNTIFS(   D4:D451,"Química del medicamento",L4:L451,"Sí")</f>
        <v>5</v>
      </c>
      <c r="AT20" s="5">
        <f>SUMIFS( E4:E451, D4:D451,"Química del medicamento")</f>
        <v>30</v>
      </c>
      <c r="AU20" s="5">
        <f>SUMIFS( E4:E451, F4:F451,"Hombre", D4:D451,"Química del medicamento")</f>
        <v>25</v>
      </c>
      <c r="AV20" s="5">
        <f>SUMIFS( E4:E451, F4:F451,"Mujer", D4:D451,"Química del medicamento")</f>
        <v>5</v>
      </c>
      <c r="AW20" s="29">
        <f>SUMIFS( E4:E451, A4:A451,"2013", D4:D451,"Química del medicamento")</f>
        <v>0</v>
      </c>
      <c r="AX20" s="5">
        <f>SUMIFS( E4:E451, A4:A451,"2014", D4:D451,"Química del medicamento")</f>
        <v>0</v>
      </c>
      <c r="AY20" s="5">
        <f>SUMIFS( E4:E451, A4:A451,"2015", D4:D451,"Química del medicamento")</f>
        <v>9</v>
      </c>
      <c r="AZ20" s="5">
        <f>SUMIFS( E4:E451, A4:A451,"2016", D4:D451,"Química del medicamento")</f>
        <v>14</v>
      </c>
      <c r="BA20" s="5">
        <f>SUMIFS( E4:E451, A4:A451,"2017", D4:D451,"Química del medicamento")</f>
        <v>7</v>
      </c>
      <c r="BB20" s="29">
        <f>SUMIFS( E4:E451, N4:N451,"2014", D4:D451,"Química del medicamento")</f>
        <v>0</v>
      </c>
      <c r="BC20" s="5">
        <f>SUMIFS( E4:E451, N4:N451,"2015", D4:D451,"Química del medicamento")</f>
        <v>0</v>
      </c>
      <c r="BD20" s="5">
        <f>SUMIFS( E4:E451, N4:N451,"2016", D4:D451,"Química del medicamento")</f>
        <v>18</v>
      </c>
      <c r="BE20" s="5">
        <f>SUMIFS( E4:E451, N4:N451,"2017", D4:D451,"Química del medicamento")</f>
        <v>5</v>
      </c>
      <c r="BF20" s="5">
        <f>SUMIFS( E4:E451, N4:N451,"2018", D4:D451,"Química del medicamento")</f>
        <v>7</v>
      </c>
      <c r="BG20" s="23">
        <f>AVERAGEIFS( E4:E451, D4:D451,"Química del medicamento")</f>
        <v>5</v>
      </c>
      <c r="BH20" s="23">
        <v>0</v>
      </c>
      <c r="BI20" s="23">
        <v>0</v>
      </c>
      <c r="BJ20" s="23">
        <f>AVERAGEIFS( E4:E451, A4:A451,"2015", D4:D451,"Química del medicamento")</f>
        <v>9</v>
      </c>
      <c r="BK20" s="23">
        <f>AVERAGEIFS( E4:E451, A4:A451,"2016", D4:D451,"Química del medicamento")</f>
        <v>3.5</v>
      </c>
      <c r="BL20" s="23">
        <f>AVERAGEIFS( E4:E451, A4:A451,"2017", D4:D451,"Química del medicamento")</f>
        <v>7</v>
      </c>
      <c r="BM20" s="23">
        <v>5</v>
      </c>
      <c r="BN20" s="23">
        <v>0</v>
      </c>
      <c r="BO20" s="23">
        <v>0</v>
      </c>
      <c r="BP20" s="23">
        <v>9</v>
      </c>
      <c r="BQ20" s="23">
        <v>3.5</v>
      </c>
      <c r="BR20" s="23">
        <v>7</v>
      </c>
    </row>
    <row r="21" spans="1:70" ht="15" customHeight="1" x14ac:dyDescent="0.25">
      <c r="A21">
        <v>2016</v>
      </c>
      <c r="B21" t="s">
        <v>4</v>
      </c>
      <c r="C21" t="s">
        <v>5</v>
      </c>
      <c r="D21" t="s">
        <v>13</v>
      </c>
      <c r="E21">
        <v>10</v>
      </c>
      <c r="F21" t="s">
        <v>215</v>
      </c>
      <c r="G21" t="s">
        <v>233</v>
      </c>
      <c r="H21" t="s">
        <v>233</v>
      </c>
      <c r="I21" t="s">
        <v>234</v>
      </c>
      <c r="J21" t="s">
        <v>234</v>
      </c>
      <c r="K21" t="s">
        <v>234</v>
      </c>
      <c r="L21" t="s">
        <v>234</v>
      </c>
      <c r="M21" s="14">
        <v>42867</v>
      </c>
      <c r="N21" s="14" t="str">
        <f t="shared" si="0"/>
        <v>2017</v>
      </c>
      <c r="O21" s="55" t="s">
        <v>20</v>
      </c>
      <c r="P21" s="56"/>
      <c r="Q21" s="56"/>
      <c r="R21" s="56"/>
      <c r="S21" s="56"/>
      <c r="T21" s="57"/>
      <c r="U21" s="5">
        <f>COUNTIFS(   D4:D451,"Tecnología del medicamento")</f>
        <v>5</v>
      </c>
      <c r="V21" s="5">
        <f>COUNTIFS(   D4:D451,"Tecnología del medicamento",F4:F451,"Hombre")</f>
        <v>2</v>
      </c>
      <c r="W21" s="5">
        <f>COUNTIFS(   D4:D451,"Tecnología del medicamento",F4:F451,"Mujer")</f>
        <v>3</v>
      </c>
      <c r="X21" s="29">
        <f>COUNTIFS(   A4:A451,"2013", D4:D451,"Tecnología del medicamento")</f>
        <v>0</v>
      </c>
      <c r="Y21" s="5">
        <f>COUNTIFS(   A4:A451,"2014", D4:D451,"Tecnología del medicamento")</f>
        <v>1</v>
      </c>
      <c r="Z21" s="5">
        <f>COUNTIFS(   A4:A451,"2015", D4:D451,"Tecnología del medicamento")</f>
        <v>0</v>
      </c>
      <c r="AA21" s="5">
        <f>COUNTIFS(   A4:A451,"2016", D4:D451,"Tecnología del medicamento")</f>
        <v>0</v>
      </c>
      <c r="AB21" s="5">
        <f>COUNTIFS(   A4:A451,"2017", D4:D451,"Tecnología del medicamento")</f>
        <v>4</v>
      </c>
      <c r="AC21" s="29">
        <f>COUNTIFS(   N4:N451,"2014", D4:D451,"Tecnología del medicamento")</f>
        <v>1</v>
      </c>
      <c r="AD21" s="5">
        <f>COUNTIFS(   N4:N451,"2015", D4:D451,"Tecnología del medicamento")</f>
        <v>0</v>
      </c>
      <c r="AE21" s="5">
        <f>COUNTIFS(   N4:N451,"2016", D4:D451,"Tecnología del medicamento")</f>
        <v>0</v>
      </c>
      <c r="AF21" s="5">
        <f>COUNTIFS(   N4:N451,"2017", D4:D451,"Tecnología del medicamento")</f>
        <v>2</v>
      </c>
      <c r="AG21" s="5">
        <f>COUNTIFS(   N4:N451,"2018", D4:D451,"Tecnología del medicamento")</f>
        <v>2</v>
      </c>
      <c r="AH21" s="5">
        <f>COUNTIFS(   D4:D451,"Tecnología del medicamento",G4:G451,"Sí")</f>
        <v>0</v>
      </c>
      <c r="AI21" s="5">
        <f>COUNTIFS(   D4:D451,"Tecnología del medicamento",G4:G451,"No")</f>
        <v>5</v>
      </c>
      <c r="AJ21" s="5">
        <f>SUMIFS( E4:E451, D4:D451,"Tecnología del medicamento",G4:G451,"Sí")</f>
        <v>0</v>
      </c>
      <c r="AK21" s="5">
        <f>SUMIFS( E4:E451, D4:D451,"Tecnología del medicamento",G4:G451,"No")</f>
        <v>16</v>
      </c>
      <c r="AL21" s="5">
        <f>COUNTIFS(   D4:D451,"Tecnología del medicamento",H4:H451,"Sí")</f>
        <v>0</v>
      </c>
      <c r="AM21" s="5">
        <f>COUNTIFS(   D4:D451,"Tecnología del medicamento",I4:I451,"Sí")</f>
        <v>1</v>
      </c>
      <c r="AN21" s="5">
        <f>COUNTIFS(   D4:D451,"Tecnología del medicamento",I4:I451,"No")</f>
        <v>4</v>
      </c>
      <c r="AO21" s="5">
        <f>SUMIFS( E4:E451, D4:D451,"Tecnología del medicamento",I4:I451,"Sí")</f>
        <v>5</v>
      </c>
      <c r="AP21" s="5">
        <f>SUMIFS( E4:E451, D4:D451,"Tecnología del medicamento",I4:I451,"No")</f>
        <v>11</v>
      </c>
      <c r="AQ21" s="5">
        <f>COUNTIFS(   D4:D451,"Tecnología del medicamento",J4:J451,"Sí")</f>
        <v>5</v>
      </c>
      <c r="AR21" s="5">
        <f>COUNTIFS(   D4:D451,"Tecnología del medicamento",K4:K451,"Sí")</f>
        <v>0</v>
      </c>
      <c r="AS21" s="5">
        <f>COUNTIFS(   D4:D451,"Tecnología del medicamento",L4:L451,"Sí")</f>
        <v>5</v>
      </c>
      <c r="AT21" s="5">
        <f>SUMIFS( E4:E451, D4:D451,"Tecnología del medicamento")</f>
        <v>16</v>
      </c>
      <c r="AU21" s="5">
        <f>SUMIFS( E4:E451, F4:F451,"Hombre", D4:D451,"Tecnología del medicamento")</f>
        <v>6</v>
      </c>
      <c r="AV21" s="5">
        <f>SUMIFS( E4:E451, F4:F451,"Mujer", D4:D451,"Tecnología del medicamento")</f>
        <v>10</v>
      </c>
      <c r="AW21" s="29">
        <f>SUMIFS( E4:E451, A4:A451,"2013", D4:D451,"Tecnología del medicamento")</f>
        <v>0</v>
      </c>
      <c r="AX21" s="5">
        <f>SUMIFS( E4:E451, A4:A451,"2014", D4:D451,"Tecnología del medicamento")</f>
        <v>5</v>
      </c>
      <c r="AY21" s="5">
        <f>SUMIFS( E4:E451, A4:A451,"2015", D4:D451,"Tecnología del medicamento")</f>
        <v>0</v>
      </c>
      <c r="AZ21" s="5">
        <f>SUMIFS( E4:E451, A4:A451,"2016", D4:D451,"Tecnología del medicamento")</f>
        <v>0</v>
      </c>
      <c r="BA21" s="5">
        <f>SUMIFS( E4:E451, A4:A451,"2017", D4:D451,"Tecnología del medicamento")</f>
        <v>11</v>
      </c>
      <c r="BB21" s="29">
        <f>SUMIFS( E4:E451, N4:N451,"2014", D4:D451,"Tecnología del medicamento")</f>
        <v>5</v>
      </c>
      <c r="BC21" s="5">
        <f>SUMIFS( E4:E451, N4:N451,"2015", D4:D451,"Tecnología del medicamento")</f>
        <v>0</v>
      </c>
      <c r="BD21" s="5">
        <f>SUMIFS( E4:E451, N4:N451,"2016", D4:D451,"Tecnología del medicamento")</f>
        <v>0</v>
      </c>
      <c r="BE21" s="5">
        <f>SUMIFS( E4:E451, N4:N451,"2017", D4:D451,"Tecnología del medicamento")</f>
        <v>3</v>
      </c>
      <c r="BF21" s="5">
        <f>SUMIFS( E4:E451, N4:N451,"2018", D4:D451,"Tecnología del medicamento")</f>
        <v>8</v>
      </c>
      <c r="BG21" s="23">
        <f>AVERAGEIFS( E4:E451, D4:D451,"Tecnología del medicamento")</f>
        <v>3.2</v>
      </c>
      <c r="BH21" s="23">
        <v>0</v>
      </c>
      <c r="BI21" s="23">
        <f>AVERAGEIFS( E4:E451, A4:A451,"2014", D4:D451,"Tecnología del medicamento")</f>
        <v>5</v>
      </c>
      <c r="BJ21" s="23">
        <v>0</v>
      </c>
      <c r="BK21" s="23">
        <v>0</v>
      </c>
      <c r="BL21" s="23">
        <f>AVERAGEIFS( E4:E451, A4:A451,"2017", D4:D451,"Tecnología del medicamento")</f>
        <v>2.75</v>
      </c>
      <c r="BM21" s="23">
        <v>3.2</v>
      </c>
      <c r="BN21" s="23">
        <v>0</v>
      </c>
      <c r="BO21" s="23">
        <v>5</v>
      </c>
      <c r="BP21" s="23">
        <v>0</v>
      </c>
      <c r="BQ21" s="23">
        <v>0</v>
      </c>
      <c r="BR21" s="23">
        <v>2.75</v>
      </c>
    </row>
    <row r="22" spans="1:70" ht="15" customHeight="1" x14ac:dyDescent="0.25">
      <c r="A22">
        <v>2016</v>
      </c>
      <c r="B22" t="s">
        <v>4</v>
      </c>
      <c r="C22" t="s">
        <v>5</v>
      </c>
      <c r="D22" t="s">
        <v>8</v>
      </c>
      <c r="E22" s="17">
        <v>5</v>
      </c>
      <c r="F22" t="s">
        <v>211</v>
      </c>
      <c r="G22" t="s">
        <v>233</v>
      </c>
      <c r="H22" t="s">
        <v>233</v>
      </c>
      <c r="I22" t="s">
        <v>234</v>
      </c>
      <c r="J22" t="s">
        <v>234</v>
      </c>
      <c r="K22" t="s">
        <v>233</v>
      </c>
      <c r="L22" t="s">
        <v>234</v>
      </c>
      <c r="M22" s="14">
        <v>42832</v>
      </c>
      <c r="N22" s="14" t="str">
        <f t="shared" si="0"/>
        <v>2017</v>
      </c>
      <c r="O22" s="58" t="s">
        <v>46</v>
      </c>
      <c r="P22" s="59"/>
      <c r="Q22" s="59"/>
      <c r="R22" s="59"/>
      <c r="S22" s="59"/>
      <c r="T22" s="60"/>
      <c r="U22" s="4">
        <f>COUNTIFS(   C4:C451,"Medicina Clínica y Salud Pública")</f>
        <v>44</v>
      </c>
      <c r="V22" s="4">
        <f>COUNTIFS(   C4:C451,"Medicina Clínica y Salud Pública",F4:F451,"Hombre")</f>
        <v>17</v>
      </c>
      <c r="W22" s="4">
        <f>COUNTIFS(   C4:C451,"Medicina Clínica y Salud Pública",F4:F451,"Mujer")</f>
        <v>27</v>
      </c>
      <c r="X22" s="28">
        <f>COUNTIFS(   A4:A451,"2013", C4:C451,"Medicina Clínica y Salud Pública")</f>
        <v>0</v>
      </c>
      <c r="Y22" s="4">
        <f>COUNTIFS(   A4:A451,"2014", C4:C451,"Medicina Clínica y Salud Pública")</f>
        <v>3</v>
      </c>
      <c r="Z22" s="4">
        <f>COUNTIFS(   A4:A451,"2015", C4:C451,"Medicina Clínica y Salud Pública")</f>
        <v>6</v>
      </c>
      <c r="AA22" s="4">
        <f>COUNTIFS(   A4:A451,"2016", C4:C451,"Medicina Clínica y Salud Pública")</f>
        <v>14</v>
      </c>
      <c r="AB22" s="4">
        <f>COUNTIFS(   A4:A451,"2017", C4:C451,"Medicina Clínica y Salud Pública")</f>
        <v>21</v>
      </c>
      <c r="AC22" s="28">
        <f>COUNTIFS(   N4:N451,"2014", C4:C451,"Medicina Clínica y Salud Pública")</f>
        <v>0</v>
      </c>
      <c r="AD22" s="4">
        <f>COUNTIFS(   N4:N451,"2015", C4:C451,"Medicina Clínica y Salud Pública")</f>
        <v>5</v>
      </c>
      <c r="AE22" s="4">
        <f>COUNTIFS(   N4:N451,"2016", C4:C451,"Medicina Clínica y Salud Pública")</f>
        <v>6</v>
      </c>
      <c r="AF22" s="4">
        <f>COUNTIFS(   N4:N451,"2017", C4:C451,"Medicina Clínica y Salud Pública")</f>
        <v>22</v>
      </c>
      <c r="AG22" s="4">
        <f>COUNTIFS(   N4:N451,"2018", C4:C451,"Medicina Clínica y Salud Pública")</f>
        <v>11</v>
      </c>
      <c r="AH22" s="4">
        <f>COUNTIFS(   C4:C451,"Medicina Clínica y Salud Pública",G4:G451,"Sí")</f>
        <v>1</v>
      </c>
      <c r="AI22" s="4">
        <f>COUNTIFS(   C4:C451,"Medicina Clínica y Salud Pública",G4:G451,"No")</f>
        <v>43</v>
      </c>
      <c r="AJ22" s="4">
        <f>SUMIFS( E4:E451, C4:C451,"Medicina Clínica y Salud Pública",G4:G451,"Sí")</f>
        <v>3</v>
      </c>
      <c r="AK22" s="4">
        <f>SUMIFS( E4:E451, C4:C451,"Medicina Clínica y Salud Pública",G4:G451,"No")</f>
        <v>636</v>
      </c>
      <c r="AL22" s="4">
        <f>COUNTIFS(   C4:C451,"Medicina Clínica y Salud Pública",H4:H451,"Sí")</f>
        <v>5</v>
      </c>
      <c r="AM22" s="4">
        <f>COUNTIFS(   C4:C451,"Medicina Clínica y Salud Pública",I4:I451,"Sí")</f>
        <v>13</v>
      </c>
      <c r="AN22" s="4">
        <f>COUNTIFS(   C4:C451,"Medicina Clínica y Salud Pública",I4:I451,"No")</f>
        <v>31</v>
      </c>
      <c r="AO22" s="4">
        <f>SUMIFS( E4:E451, C4:C451,"Medicina Clínica y Salud Pública",I4:I451,"Sí")</f>
        <v>239</v>
      </c>
      <c r="AP22" s="4">
        <f>SUMIFS( E4:E451, C4:C451,"Medicina Clínica y Salud Pública",I4:I451,"No")</f>
        <v>400</v>
      </c>
      <c r="AQ22" s="4">
        <f>COUNTIFS(   C4:C451,"Medicina Clínica y Salud Pública",J4:J451,"Sí")</f>
        <v>40</v>
      </c>
      <c r="AR22" s="4">
        <f>COUNTIFS(   C4:C451,"Medicina Clínica y Salud Pública",K4:K451,"Sí")</f>
        <v>20</v>
      </c>
      <c r="AS22" s="4">
        <f>COUNTIFS(   C4:C451,"Medicina Clínica y Salud Pública",L4:L451,"Sí")</f>
        <v>40</v>
      </c>
      <c r="AT22" s="4">
        <f>SUMIFS( E4:E451, C4:C451,"Medicina Clínica y Salud Pública")</f>
        <v>639</v>
      </c>
      <c r="AU22" s="4">
        <f>SUMIFS( E4:E451, F4:F451,"Hombre", C4:C451,"Medicina Clínica y Salud Pública")</f>
        <v>281</v>
      </c>
      <c r="AV22" s="4">
        <f>SUMIFS( E4:E451, F4:F451,"Mujer", C4:C451,"Medicina Clínica y Salud Pública")</f>
        <v>358</v>
      </c>
      <c r="AW22" s="28">
        <f>SUMIFS( E4:E451, A4:A451,"2013", C4:C451,"Medicina Clínica y Salud Pública")</f>
        <v>0</v>
      </c>
      <c r="AX22" s="4">
        <f>SUMIFS( E4:E451, A4:A451,"2014", C4:C451,"Medicina Clínica y Salud Pública")</f>
        <v>34</v>
      </c>
      <c r="AY22" s="4">
        <f>SUMIFS( E4:E451, A4:A451,"2015", C4:C451,"Medicina Clínica y Salud Pública")</f>
        <v>148</v>
      </c>
      <c r="AZ22" s="4">
        <f>SUMIFS( E4:E451, A4:A451,"2016", C4:C451,"Medicina Clínica y Salud Pública")</f>
        <v>169</v>
      </c>
      <c r="BA22" s="4">
        <f>SUMIFS( E4:E451, A4:A451,"2017", C4:C451,"Medicina Clínica y Salud Pública")</f>
        <v>288</v>
      </c>
      <c r="BB22" s="28">
        <f>SUMIFS( E4:E451, N4:N451,"2014", C4:C451,"Medicina Clínica y Salud Pública")</f>
        <v>0</v>
      </c>
      <c r="BC22" s="4">
        <f>SUMIFS( E4:E451, N4:N451,"2015", C4:C451,"Medicina Clínica y Salud Pública")</f>
        <v>47</v>
      </c>
      <c r="BD22" s="4">
        <f>SUMIFS( E4:E451, N4:N451,"2016", C4:C451,"Medicina Clínica y Salud Pública")</f>
        <v>179</v>
      </c>
      <c r="BE22" s="4">
        <f>SUMIFS( E4:E451, N4:N451,"2017", C4:C451,"Medicina Clínica y Salud Pública")</f>
        <v>229</v>
      </c>
      <c r="BF22" s="4">
        <f>SUMIFS( E4:E451, N4:N451,"2018", C4:C451,"Medicina Clínica y Salud Pública")</f>
        <v>184</v>
      </c>
      <c r="BG22" s="22">
        <f>AVERAGEIFS( E4:E451, C4:C451,"Medicina Clínica y Salud Pública")</f>
        <v>14.522727272727273</v>
      </c>
      <c r="BH22" s="22">
        <v>0</v>
      </c>
      <c r="BI22" s="22">
        <f>AVERAGEIFS( E4:E451, A4:A451,"2014", C4:C451,"Medicina Clínica y Salud Pública")</f>
        <v>11.333333333333334</v>
      </c>
      <c r="BJ22" s="22">
        <f>AVERAGEIFS( E4:E451, A4:A451,"2015", C4:C451,"Medicina Clínica y Salud Pública")</f>
        <v>24.666666666666668</v>
      </c>
      <c r="BK22" s="22">
        <f>AVERAGEIFS( E4:E451, A4:A451,"2016", C4:C451,"Medicina Clínica y Salud Pública")</f>
        <v>12.071428571428571</v>
      </c>
      <c r="BL22" s="22">
        <f>AVERAGEIFS( E4:E451, A4:A451,"2017", C4:C451,"Medicina Clínica y Salud Pública")</f>
        <v>13.714285714285714</v>
      </c>
      <c r="BM22" s="22">
        <f>AVERAGE(AT23:AT29)</f>
        <v>91.285714285714292</v>
      </c>
      <c r="BN22" s="22">
        <f>AVERAGE(AW23:AW29)</f>
        <v>0</v>
      </c>
      <c r="BO22" s="22">
        <f>AVERAGE(AX23:AX29)</f>
        <v>4.8571428571428568</v>
      </c>
      <c r="BP22" s="22">
        <f>AVERAGE(AY23:AY29)</f>
        <v>21.142857142857142</v>
      </c>
      <c r="BQ22" s="22">
        <f>AVERAGE(AZ23:AZ29)</f>
        <v>24.142857142857142</v>
      </c>
      <c r="BR22" s="22">
        <f>AVERAGE(BA23:BA29)</f>
        <v>41.142857142857146</v>
      </c>
    </row>
    <row r="23" spans="1:70" ht="15" customHeight="1" x14ac:dyDescent="0.25">
      <c r="A23">
        <v>2016</v>
      </c>
      <c r="B23" t="s">
        <v>4</v>
      </c>
      <c r="C23" t="s">
        <v>5</v>
      </c>
      <c r="D23" t="s">
        <v>7</v>
      </c>
      <c r="E23" s="17">
        <v>8</v>
      </c>
      <c r="F23" t="s">
        <v>211</v>
      </c>
      <c r="G23" t="s">
        <v>233</v>
      </c>
      <c r="H23" t="s">
        <v>233</v>
      </c>
      <c r="I23" t="s">
        <v>234</v>
      </c>
      <c r="J23" t="s">
        <v>234</v>
      </c>
      <c r="K23" t="s">
        <v>234</v>
      </c>
      <c r="L23" t="s">
        <v>234</v>
      </c>
      <c r="M23" s="14">
        <v>42825</v>
      </c>
      <c r="N23" s="14" t="str">
        <f t="shared" si="0"/>
        <v>2017</v>
      </c>
      <c r="O23" s="55" t="s">
        <v>30</v>
      </c>
      <c r="P23" s="56"/>
      <c r="Q23" s="56"/>
      <c r="R23" s="56"/>
      <c r="S23" s="56"/>
      <c r="T23" s="57"/>
      <c r="U23" s="5">
        <f>COUNTIFS(   D4:D451,"Agentes infecciosos relacionados con los procesos clínicos")</f>
        <v>2</v>
      </c>
      <c r="V23" s="5">
        <f>COUNTIFS(   D4:D451,"Agentes infecciosos relacionados con los procesos clínicos",F4:F451,"Hombre")</f>
        <v>2</v>
      </c>
      <c r="W23" s="5">
        <f>COUNTIFS(   D4:D451,"Agentes infecciosos relacionados con los procesos clínicos",F4:F451,"Mujer")</f>
        <v>0</v>
      </c>
      <c r="X23" s="29">
        <f>COUNTIFS(   A4:A451,"2013", D4:D451,"Agentes infecciosos relacionados con los procesos clínicos")</f>
        <v>0</v>
      </c>
      <c r="Y23" s="5">
        <f>COUNTIFS(   A4:A451,"2014", D4:D451,"Agentes infecciosos relacionados con los procesos clínicos")</f>
        <v>1</v>
      </c>
      <c r="Z23" s="5">
        <f>COUNTIFS(   A4:A451,"2015", D4:D451,"Agentes infecciosos relacionados con los procesos clínicos")</f>
        <v>0</v>
      </c>
      <c r="AA23" s="5">
        <f>COUNTIFS(   A4:A451,"2016", D4:D451,"Agentes infecciosos relacionados con los procesos clínicos")</f>
        <v>0</v>
      </c>
      <c r="AB23" s="5">
        <f>COUNTIFS(   A4:A451,"2017", D4:D451,"Agentes infecciosos relacionados con los procesos clínicos")</f>
        <v>1</v>
      </c>
      <c r="AC23" s="29">
        <f>COUNTIFS(   N4:N451,"2014", D4:D451,"Agentes infecciosos relacionados con los procesos clínicos")</f>
        <v>0</v>
      </c>
      <c r="AD23" s="5">
        <f>COUNTIFS(   N4:N451,"2015", D4:D451,"Agentes infecciosos relacionados con los procesos clínicos")</f>
        <v>1</v>
      </c>
      <c r="AE23" s="5">
        <f>COUNTIFS(   N4:N451,"2016", D4:D451,"Agentes infecciosos relacionados con los procesos clínicos")</f>
        <v>0</v>
      </c>
      <c r="AF23" s="5">
        <f>COUNTIFS(   N4:N451,"2017", D4:D451,"Agentes infecciosos relacionados con los procesos clínicos")</f>
        <v>1</v>
      </c>
      <c r="AG23" s="5">
        <f>COUNTIFS(   N4:N451,"2018", D4:D451,"Agentes infecciosos relacionados con los procesos clínicos")</f>
        <v>0</v>
      </c>
      <c r="AH23" s="5">
        <f>COUNTIFS(   D4:D451,"Agentes infecciosos relacionados con los procesos clínicos",G4:G451,"Sí")</f>
        <v>0</v>
      </c>
      <c r="AI23" s="5">
        <f>COUNTIFS(   D4:D451,"Agentes infecciosos relacionados con los procesos clínicos",G4:G451,"No")</f>
        <v>2</v>
      </c>
      <c r="AJ23" s="5">
        <f>SUMIFS( E4:E451, D4:D451,"Agentes infecciosos relacionados con los procesos clínicos",G4:G451,"Sí")</f>
        <v>0</v>
      </c>
      <c r="AK23" s="5">
        <f>SUMIFS( E4:E451, D4:D451,"Agentes infecciosos relacionados con los procesos clínicos",G4:G451,"No")</f>
        <v>21</v>
      </c>
      <c r="AL23" s="5">
        <f>COUNTIFS(   D4:D451,"Agentes infecciosos relacionados con los procesos clínicos",H4:H451,"Sí")</f>
        <v>0</v>
      </c>
      <c r="AM23" s="5">
        <f>COUNTIFS(   D4:D451,"Agentes infecciosos relacionados con los procesos clínicos",I4:I451,"Sí")</f>
        <v>1</v>
      </c>
      <c r="AN23" s="5">
        <f>COUNTIFS(   D4:D451,"Agentes infecciosos relacionados con los procesos clínicos",I4:I451,"No")</f>
        <v>1</v>
      </c>
      <c r="AO23" s="5">
        <f>SUMIFS( E4:E451, D4:D451,"Agentes infecciosos relacionados con los procesos clínicos",I4:I451,"Sí")</f>
        <v>9</v>
      </c>
      <c r="AP23" s="5">
        <f>SUMIFS( E4:E451, D4:D451,"Agentes infecciosos relacionados con los procesos clínicos",I4:I451,"No")</f>
        <v>12</v>
      </c>
      <c r="AQ23" s="5">
        <f>COUNTIFS(   D4:D451,"Agentes infecciosos relacionados con los procesos clínicos",J4:J451,"Sí")</f>
        <v>2</v>
      </c>
      <c r="AR23" s="5">
        <f>COUNTIFS(   D4:D451,"Agentes infecciosos relacionados con los procesos clínicos",K4:K451,"Sí")</f>
        <v>1</v>
      </c>
      <c r="AS23" s="5">
        <f>COUNTIFS(   D4:D451,"Agentes infecciosos relacionados con los procesos clínicos",L4:L451,"Sí")</f>
        <v>2</v>
      </c>
      <c r="AT23" s="5">
        <f>SUMIFS( E4:E451, D4:D451,"Agentes infecciosos relacionados con los procesos clínicos")</f>
        <v>21</v>
      </c>
      <c r="AU23" s="5">
        <f>SUMIFS( E4:E451, F4:F451,"Hombre", D4:D451,"Agentes infecciosos relacionados con los procesos clínicos")</f>
        <v>21</v>
      </c>
      <c r="AV23" s="5">
        <f>SUMIFS( E4:E451, F4:F451,"Mujer", D4:D451,"Agentes infecciosos relacionados con los procesos clínicos")</f>
        <v>0</v>
      </c>
      <c r="AW23" s="29">
        <f>SUMIFS( E4:E451, A4:A451,"2013", D4:D451,"Agentes infecciosos relacionados con los procesos clínicos")</f>
        <v>0</v>
      </c>
      <c r="AX23" s="5">
        <f>SUMIFS( E4:E451, A4:A451,"2014", D4:D451,"Agentes infecciosos relacionados con los procesos clínicos")</f>
        <v>9</v>
      </c>
      <c r="AY23" s="5">
        <f>SUMIFS( E4:E451, A4:A451,"2015", D4:D451,"Agentes infecciosos relacionados con los procesos clínicos")</f>
        <v>0</v>
      </c>
      <c r="AZ23" s="5">
        <f>SUMIFS( E4:E451, A4:A451,"2016", D4:D451,"Agentes infecciosos relacionados con los procesos clínicos")</f>
        <v>0</v>
      </c>
      <c r="BA23" s="5">
        <f>SUMIFS( E4:E451, A4:A451,"2017", D4:D451,"Agentes infecciosos relacionados con los procesos clínicos")</f>
        <v>12</v>
      </c>
      <c r="BB23" s="29">
        <f>SUMIFS( E4:E451, N4:N451,"2014", D4:D451,"Agentes infecciosos relacionados con los procesos clínicos")</f>
        <v>0</v>
      </c>
      <c r="BC23" s="5">
        <f>SUMIFS( E4:E451, N4:N451,"2015", D4:D451,"Agentes infecciosos relacionados con los procesos clínicos")</f>
        <v>9</v>
      </c>
      <c r="BD23" s="5">
        <f>SUMIFS( E4:E451, N4:N451,"2016", D4:D451,"Agentes infecciosos relacionados con los procesos clínicos")</f>
        <v>0</v>
      </c>
      <c r="BE23" s="5">
        <f>SUMIFS( E4:E451, N4:N451,"2017", D4:D451,"Agentes infecciosos relacionados con los procesos clínicos")</f>
        <v>12</v>
      </c>
      <c r="BF23" s="5">
        <f>SUMIFS( E4:E451, N4:N451,"2018", D4:D451,"Agentes infecciosos relacionados con los procesos clínicos")</f>
        <v>0</v>
      </c>
      <c r="BG23" s="23">
        <f>AVERAGEIFS( E4:E451, D4:D451,"Agentes infecciosos relacionados con los procesos clínicos")</f>
        <v>10.5</v>
      </c>
      <c r="BH23" s="23">
        <v>0</v>
      </c>
      <c r="BI23" s="23">
        <f>AVERAGEIFS( E4:E451, A4:A451,"2014", D4:D451,"Agentes infecciosos relacionados con los procesos clínicos")</f>
        <v>9</v>
      </c>
      <c r="BJ23" s="23">
        <v>0</v>
      </c>
      <c r="BK23" s="23">
        <v>0</v>
      </c>
      <c r="BL23" s="23">
        <f>AVERAGEIFS( E4:E451, A4:A451,"2017", D4:D451,"Agentes infecciosos relacionados con los procesos clínicos")</f>
        <v>12</v>
      </c>
      <c r="BM23" s="23">
        <v>10.5</v>
      </c>
      <c r="BN23" s="23">
        <v>0</v>
      </c>
      <c r="BO23" s="23">
        <v>9</v>
      </c>
      <c r="BP23" s="23">
        <v>0</v>
      </c>
      <c r="BQ23" s="23">
        <v>0</v>
      </c>
      <c r="BR23" s="23">
        <v>12</v>
      </c>
    </row>
    <row r="24" spans="1:70" ht="15" customHeight="1" x14ac:dyDescent="0.25">
      <c r="A24">
        <v>2016</v>
      </c>
      <c r="B24" t="s">
        <v>4</v>
      </c>
      <c r="C24" t="s">
        <v>5</v>
      </c>
      <c r="D24" t="s">
        <v>10</v>
      </c>
      <c r="E24" s="17">
        <v>19</v>
      </c>
      <c r="F24" t="s">
        <v>215</v>
      </c>
      <c r="G24" t="s">
        <v>233</v>
      </c>
      <c r="H24" t="s">
        <v>233</v>
      </c>
      <c r="I24" t="s">
        <v>234</v>
      </c>
      <c r="J24" t="s">
        <v>234</v>
      </c>
      <c r="K24" t="s">
        <v>233</v>
      </c>
      <c r="L24" t="s">
        <v>233</v>
      </c>
      <c r="M24" s="14">
        <v>42811</v>
      </c>
      <c r="N24" s="14" t="str">
        <f t="shared" si="0"/>
        <v>2017</v>
      </c>
      <c r="O24" s="55" t="s">
        <v>29</v>
      </c>
      <c r="P24" s="56"/>
      <c r="Q24" s="56"/>
      <c r="R24" s="56"/>
      <c r="S24" s="56"/>
      <c r="T24" s="57"/>
      <c r="U24" s="5">
        <f>COUNTIFS(   D4:D451,"Epidemiología y Salud Pública",C4:C451,"Medicina Clínica y Salud Pública")</f>
        <v>5</v>
      </c>
      <c r="V24" s="5">
        <f>COUNTIFS(   D4:D451,"Epidemiología y Salud Pública",C4:C451,"Medicina Clínica y Salud Pública",F4:F451,"Hombre")</f>
        <v>1</v>
      </c>
      <c r="W24" s="5">
        <f>COUNTIFS(   D4:D451,"Epidemiología y Salud Pública",C4:C451,"Medicina Clínica y Salud Pública",F4:F451,"Mujer")</f>
        <v>4</v>
      </c>
      <c r="X24" s="29">
        <f>COUNTIFS(   A4:A451,"2013", D4:D451,"Epidemiología y Salud Pública",C4:C451,"Medicina Clínica y Salud Pública")</f>
        <v>0</v>
      </c>
      <c r="Y24" s="5">
        <f>COUNTIFS(   A4:A451,"2014", D4:D451,"Epidemiología y Salud Pública",C4:C451,"Medicina Clínica y Salud Pública")</f>
        <v>0</v>
      </c>
      <c r="Z24" s="5">
        <f>COUNTIFS(   A4:A451,"2015", D4:D451,"Epidemiología y Salud Pública",C4:C451,"Medicina Clínica y Salud Pública")</f>
        <v>2</v>
      </c>
      <c r="AA24" s="5">
        <f>COUNTIFS(   A4:A451,"2016", D4:D451,"Epidemiología y Salud Pública",C4:C451,"Medicina Clínica y Salud Pública")</f>
        <v>2</v>
      </c>
      <c r="AB24" s="5">
        <f>COUNTIFS(   A4:A451,"2017", D4:D451,"Epidemiología y Salud Pública",C4:C451,"Medicina Clínica y Salud Pública")</f>
        <v>1</v>
      </c>
      <c r="AC24" s="29">
        <f>COUNTIFS(   N4:N451,"2014", D4:D451,"Epidemiología y Salud Pública",C4:C451,"Medicina Clínica y Salud Pública")</f>
        <v>0</v>
      </c>
      <c r="AD24" s="5">
        <f>COUNTIFS(   N4:N451,"2015", D4:D451,"Epidemiología y Salud Pública",C4:C451,"Medicina Clínica y Salud Pública")</f>
        <v>1</v>
      </c>
      <c r="AE24" s="5">
        <f>COUNTIFS(   N4:N451,"2016", D4:D451,"Epidemiología y Salud Pública",C4:C451,"Medicina Clínica y Salud Pública")</f>
        <v>1</v>
      </c>
      <c r="AF24" s="5">
        <f>COUNTIFS(   N4:N451,"2017", D4:D451,"Epidemiología y Salud Pública",C4:C451,"Medicina Clínica y Salud Pública")</f>
        <v>3</v>
      </c>
      <c r="AG24" s="5">
        <f>COUNTIFS(   N4:N451,"2018", D4:D451,"Epidemiología y Salud Pública",C4:C451,"Medicina Clínica y Salud Pública")</f>
        <v>0</v>
      </c>
      <c r="AH24" s="5">
        <f>COUNTIFS(   D4:D451,"Epidemiología y Salud Pública",C4:C451,"Medicina Clínica y Salud Pública",G4:G451,"Sí")</f>
        <v>1</v>
      </c>
      <c r="AI24" s="5">
        <f>COUNTIFS(   D4:D451,"Epidemiología y Salud Pública",C4:C451,"Medicina Clínica y Salud Pública",G4:G451,"No")</f>
        <v>4</v>
      </c>
      <c r="AJ24" s="5">
        <f>SUMIFS( E4:E451, D4:D451,"Epidemiología y Salud Pública",C4:C451,"Medicina Clínica y Salud Pública",G4:G451,"Sí")</f>
        <v>3</v>
      </c>
      <c r="AK24" s="5">
        <f>SUMIFS( E4:E451, D4:D451,"Epidemiología y Salud Pública",C4:C451,"Medicina Clínica y Salud Pública",G4:G451,"No")</f>
        <v>66</v>
      </c>
      <c r="AL24" s="5">
        <f>COUNTIFS(   D4:D451,"Epidemiología y Salud Pública",C4:C451,"Medicina Clínica y Salud Pública",H4:H451,"Sí")</f>
        <v>0</v>
      </c>
      <c r="AM24" s="5">
        <f>COUNTIFS(   D4:D451,"Epidemiología y Salud Pública",C4:C451,"Medicina Clínica y Salud Pública",I4:I451,"Sí")</f>
        <v>1</v>
      </c>
      <c r="AN24" s="5">
        <f>COUNTIFS(   D4:D451,"Epidemiología y Salud Pública",C4:C451,"Medicina Clínica y Salud Pública",I4:I451,"No")</f>
        <v>4</v>
      </c>
      <c r="AO24" s="5">
        <f>SUMIFS( E4:E451, D4:D451,"Epidemiología y Salud Pública",C4:C451,"Medicina Clínica y Salud Pública",I4:I451,"Sí")</f>
        <v>47</v>
      </c>
      <c r="AP24" s="5">
        <f>SUMIFS( E4:E451, D4:D451,"Epidemiología y Salud Pública",C4:C451,"Medicina Clínica y Salud Pública",I4:I451,"No")</f>
        <v>22</v>
      </c>
      <c r="AQ24" s="5">
        <f>COUNTIFS(   D4:D451,"Epidemiología y Salud Pública",C4:C451,"Medicina Clínica y Salud Pública",J4:J451,"Sí")</f>
        <v>5</v>
      </c>
      <c r="AR24" s="5">
        <f>COUNTIFS(   D4:D451,"Epidemiología y Salud Pública",C4:C451,"Medicina Clínica y Salud Pública",K4:K451,"Sí")</f>
        <v>1</v>
      </c>
      <c r="AS24" s="5">
        <f>COUNTIFS(   D4:D451,"Epidemiología y Salud Pública",C4:C451,"Medicina Clínica y Salud Pública",L4:L451,"Sí")</f>
        <v>5</v>
      </c>
      <c r="AT24" s="5">
        <f>SUMIFS( E4:E451, D4:D451,"Epidemiología y Salud Pública",C4:C451,"Medicina Clínica y Salud Pública")</f>
        <v>69</v>
      </c>
      <c r="AU24" s="5">
        <f>SUMIFS( E4:E451, F4:F451,"Hombre", D4:D451,"Epidemiología y Salud Pública",C4:C451,"Medicina Clínica y Salud Pública")</f>
        <v>12</v>
      </c>
      <c r="AV24" s="5">
        <f>SUMIFS( E4:E451, F4:F451,"Mujer", D4:D451,"Epidemiología y Salud Pública",C4:C451,"Medicina Clínica y Salud Pública")</f>
        <v>57</v>
      </c>
      <c r="AW24" s="29">
        <f>SUMIFS( E4:E451, A4:A451,"2013", D4:D451,"Epidemiología y Salud Pública",C4:C451,"Medicina Clínica y Salud Pública")</f>
        <v>0</v>
      </c>
      <c r="AX24" s="5">
        <f>SUMIFS( E4:E451, A4:A451,"2014", D4:D451,"Epidemiología y Salud Pública",C4:C451,"Medicina Clínica y Salud Pública")</f>
        <v>0</v>
      </c>
      <c r="AY24" s="5">
        <f>SUMIFS( E4:E451, A4:A451,"2015", D4:D451,"Epidemiología y Salud Pública",C4:C451,"Medicina Clínica y Salud Pública")</f>
        <v>50</v>
      </c>
      <c r="AZ24" s="5">
        <f>SUMIFS( E4:E451, A4:A451,"2016", D4:D451,"Epidemiología y Salud Pública",C4:C451,"Medicina Clínica y Salud Pública")</f>
        <v>14</v>
      </c>
      <c r="BA24" s="5">
        <f>SUMIFS( E4:E451, A4:A451,"2017", D4:D451,"Epidemiología y Salud Pública",C4:C451,"Medicina Clínica y Salud Pública")</f>
        <v>5</v>
      </c>
      <c r="BB24" s="29">
        <f>SUMIFS( E4:E451, N4:N451,"2014", D4:D451,"Epidemiología y Salud Pública",C4:C451,"Medicina Clínica y Salud Pública")</f>
        <v>0</v>
      </c>
      <c r="BC24" s="5">
        <f>SUMIFS( E4:E451, N4:N451,"2015", D4:D451,"Epidemiología y Salud Pública",C4:C451,"Medicina Clínica y Salud Pública")</f>
        <v>3</v>
      </c>
      <c r="BD24" s="5">
        <f>SUMIFS( E4:E451, N4:N451,"2016", D4:D451,"Epidemiología y Salud Pública",C4:C451,"Medicina Clínica y Salud Pública")</f>
        <v>47</v>
      </c>
      <c r="BE24" s="5">
        <f>SUMIFS( E4:E451, N4:N451,"2017", D4:D451,"Epidemiología y Salud Pública",C4:C451,"Medicina Clínica y Salud Pública")</f>
        <v>19</v>
      </c>
      <c r="BF24" s="5">
        <f>SUMIFS( E4:E451, N4:N451,"2018", D4:D451,"Epidemiología y Salud Pública",C4:C451,"Medicina Clínica y Salud Pública")</f>
        <v>0</v>
      </c>
      <c r="BG24" s="23">
        <f>AVERAGEIFS( E4:E451, D4:D451,"Epidemiología y Salud Pública",C4:C451,"Medicina Clínica y Salud Pública")</f>
        <v>13.8</v>
      </c>
      <c r="BH24" s="23">
        <v>0</v>
      </c>
      <c r="BI24" s="23">
        <v>0</v>
      </c>
      <c r="BJ24" s="23">
        <f>AVERAGEIFS( E4:E451, A4:A451,"2015", D4:D451,"Epidemiología y Salud Pública",C4:C451,"Medicina Clínica y Salud Pública")</f>
        <v>25</v>
      </c>
      <c r="BK24" s="23">
        <f>AVERAGEIFS( E4:E451, A4:A451,"2016", D4:D451,"Epidemiología y Salud Pública",C4:C451,"Medicina Clínica y Salud Pública")</f>
        <v>7</v>
      </c>
      <c r="BL24" s="23">
        <f>AVERAGEIFS( E4:E451, A4:A451,"2017", D4:D451,"Epidemiología y Salud Pública",C4:C451,"Medicina Clínica y Salud Pública")</f>
        <v>5</v>
      </c>
      <c r="BM24" s="23">
        <v>13.8</v>
      </c>
      <c r="BN24" s="23">
        <v>0</v>
      </c>
      <c r="BO24" s="23">
        <v>0</v>
      </c>
      <c r="BP24" s="23">
        <v>25</v>
      </c>
      <c r="BQ24" s="23">
        <v>7</v>
      </c>
      <c r="BR24" s="23">
        <v>5</v>
      </c>
    </row>
    <row r="25" spans="1:70" ht="15" customHeight="1" x14ac:dyDescent="0.25">
      <c r="A25">
        <v>2016</v>
      </c>
      <c r="B25" t="s">
        <v>4</v>
      </c>
      <c r="C25" t="s">
        <v>5</v>
      </c>
      <c r="D25" t="s">
        <v>9</v>
      </c>
      <c r="E25">
        <v>4</v>
      </c>
      <c r="F25" t="s">
        <v>215</v>
      </c>
      <c r="G25" t="s">
        <v>233</v>
      </c>
      <c r="H25" t="s">
        <v>233</v>
      </c>
      <c r="I25" t="s">
        <v>233</v>
      </c>
      <c r="J25" t="s">
        <v>234</v>
      </c>
      <c r="K25" t="s">
        <v>234</v>
      </c>
      <c r="L25" t="s">
        <v>234</v>
      </c>
      <c r="M25" s="14">
        <v>42804</v>
      </c>
      <c r="N25" s="14" t="str">
        <f t="shared" si="0"/>
        <v>2017</v>
      </c>
      <c r="O25" s="55" t="s">
        <v>28</v>
      </c>
      <c r="P25" s="56"/>
      <c r="Q25" s="56"/>
      <c r="R25" s="56"/>
      <c r="S25" s="56"/>
      <c r="T25" s="57"/>
      <c r="U25" s="5">
        <f>COUNTIFS(   D4:D451,"Farmacología Clínica")</f>
        <v>4</v>
      </c>
      <c r="V25" s="5">
        <f>COUNTIFS(   D4:D451,"Farmacología Clínica",F4:F451,"Hombre")</f>
        <v>1</v>
      </c>
      <c r="W25" s="5">
        <f>COUNTIFS(   D4:D451,"Farmacología Clínica",F4:F451,"Mujer")</f>
        <v>3</v>
      </c>
      <c r="X25" s="29">
        <f>COUNTIFS(   A4:A451,"2013", D4:D451,"Farmacología Clínica")</f>
        <v>0</v>
      </c>
      <c r="Y25" s="5">
        <f>COUNTIFS(   A4:A451,"2014", D4:D451,"Farmacología Clínica")</f>
        <v>2</v>
      </c>
      <c r="Z25" s="5">
        <f>COUNTIFS(   A4:A451,"2015", D4:D451,"Farmacología Clínica")</f>
        <v>0</v>
      </c>
      <c r="AA25" s="5">
        <f>COUNTIFS(   A4:A451,"2016", D4:D451,"Farmacología Clínica")</f>
        <v>1</v>
      </c>
      <c r="AB25" s="5">
        <f>COUNTIFS(   A4:A451,"2017", D4:D451,"Farmacología Clínica")</f>
        <v>1</v>
      </c>
      <c r="AC25" s="29">
        <f>COUNTIFS(   N4:N451,"2014", D4:D451,"Farmacología Clínica")</f>
        <v>0</v>
      </c>
      <c r="AD25" s="5">
        <f>COUNTIFS(   N4:N451,"2015", D4:D451,"Farmacología Clínica")</f>
        <v>2</v>
      </c>
      <c r="AE25" s="5">
        <f>COUNTIFS(   N4:N451,"2016", D4:D451,"Farmacología Clínica")</f>
        <v>0</v>
      </c>
      <c r="AF25" s="5">
        <f>COUNTIFS(   N4:N451,"2017", D4:D451,"Farmacología Clínica")</f>
        <v>2</v>
      </c>
      <c r="AG25" s="5">
        <f>COUNTIFS(   N4:N451,"2018", D4:D451,"Farmacología Clínica")</f>
        <v>0</v>
      </c>
      <c r="AH25" s="5">
        <f>COUNTIFS(   D4:D451,"Farmacología Clínica",G4:G451,"Sí")</f>
        <v>0</v>
      </c>
      <c r="AI25" s="5">
        <f>COUNTIFS(   D4:D451,"Farmacología Clínica",G4:G451,"No")</f>
        <v>4</v>
      </c>
      <c r="AJ25" s="5">
        <f>SUMIFS( E4:E451, D4:D451,"Farmacología Clínica",G4:G451,"Sí")</f>
        <v>0</v>
      </c>
      <c r="AK25" s="5">
        <f>SUMIFS( E4:E451, D4:D451,"Farmacología Clínica",G4:G451,"No")</f>
        <v>58</v>
      </c>
      <c r="AL25" s="5">
        <f>COUNTIFS(   D4:D451,"Farmacología Clínica",H4:H451,"Sí")</f>
        <v>0</v>
      </c>
      <c r="AM25" s="5">
        <f>COUNTIFS(   D4:D451,"Farmacología Clínica",I4:I451,"Sí")</f>
        <v>2</v>
      </c>
      <c r="AN25" s="5">
        <f>COUNTIFS(   D4:D451,"Farmacología Clínica",I4:I451,"No")</f>
        <v>2</v>
      </c>
      <c r="AO25" s="5">
        <f>SUMIFS( E4:E451, D4:D451,"Farmacología Clínica",I4:I451,"Sí")</f>
        <v>33</v>
      </c>
      <c r="AP25" s="5">
        <f>SUMIFS( E4:E451, D4:D451,"Farmacología Clínica",I4:I451,"No")</f>
        <v>25</v>
      </c>
      <c r="AQ25" s="5">
        <f>COUNTIFS(   D4:D451,"Farmacología Clínica",J4:J451,"Sí")</f>
        <v>4</v>
      </c>
      <c r="AR25" s="5">
        <f>COUNTIFS(   D4:D451,"Farmacología Clínica",K4:K451,"Sí")</f>
        <v>2</v>
      </c>
      <c r="AS25" s="5">
        <f>COUNTIFS(   D4:D451,"Farmacología Clínica",L4:L451,"Sí")</f>
        <v>4</v>
      </c>
      <c r="AT25" s="5">
        <f>SUMIFS( E4:E451, D4:D451,"Farmacología Clínica")</f>
        <v>58</v>
      </c>
      <c r="AU25" s="5">
        <f>SUMIFS( E4:E451, F4:F451,"Hombre", D4:D451,"Farmacología Clínica")</f>
        <v>17</v>
      </c>
      <c r="AV25" s="5">
        <f>SUMIFS( E4:E451, F4:F451,"Mujer", D4:D451,"Farmacología Clínica")</f>
        <v>41</v>
      </c>
      <c r="AW25" s="29">
        <f>SUMIFS( E4:E451, A4:A451,"2013", D4:D451,"Farmacología Clínica")</f>
        <v>0</v>
      </c>
      <c r="AX25" s="5">
        <f>SUMIFS( E4:E451, A4:A451,"2014", D4:D451,"Farmacología Clínica")</f>
        <v>25</v>
      </c>
      <c r="AY25" s="5">
        <f>SUMIFS( E4:E451, A4:A451,"2015", D4:D451,"Farmacología Clínica")</f>
        <v>0</v>
      </c>
      <c r="AZ25" s="5">
        <f>SUMIFS( E4:E451, A4:A451,"2016", D4:D451,"Farmacología Clínica")</f>
        <v>11</v>
      </c>
      <c r="BA25" s="5">
        <f>SUMIFS( E4:E451, A4:A451,"2017", D4:D451,"Farmacología Clínica")</f>
        <v>22</v>
      </c>
      <c r="BB25" s="29">
        <f>SUMIFS( E4:E451, N4:N451,"2014", D4:D451,"Farmacología Clínica")</f>
        <v>0</v>
      </c>
      <c r="BC25" s="5">
        <f>SUMIFS( E4:E451, N4:N451,"2015", D4:D451,"Farmacología Clínica")</f>
        <v>25</v>
      </c>
      <c r="BD25" s="5">
        <f>SUMIFS( E4:E451, N4:N451,"2016", D4:D451,"Farmacología Clínica")</f>
        <v>0</v>
      </c>
      <c r="BE25" s="5">
        <f>SUMIFS( E4:E451, N4:N451,"2017", D4:D451,"Farmacología Clínica")</f>
        <v>33</v>
      </c>
      <c r="BF25" s="5">
        <f>SUMIFS( E4:E451, N4:N451,"2018", D4:D451,"Farmacología Clínica")</f>
        <v>0</v>
      </c>
      <c r="BG25" s="23">
        <f>AVERAGEIFS( E4:E451, D4:D451,"Farmacología Clínica")</f>
        <v>14.5</v>
      </c>
      <c r="BH25" s="23">
        <v>0</v>
      </c>
      <c r="BI25" s="23">
        <f>AVERAGEIFS( E4:E451, A4:A451,"2014", D4:D451,"Farmacología Clínica")</f>
        <v>12.5</v>
      </c>
      <c r="BJ25" s="23">
        <v>0</v>
      </c>
      <c r="BK25" s="23">
        <f>AVERAGEIFS( E4:E451, A4:A451,"2016", D4:D451,"Farmacología Clínica")</f>
        <v>11</v>
      </c>
      <c r="BL25" s="23">
        <f>AVERAGEIFS( E4:E451, A4:A451,"2017", D4:D451,"Farmacología Clínica")</f>
        <v>22</v>
      </c>
      <c r="BM25" s="23">
        <v>14.5</v>
      </c>
      <c r="BN25" s="23">
        <v>0</v>
      </c>
      <c r="BO25" s="23">
        <v>12.5</v>
      </c>
      <c r="BP25" s="23">
        <v>0</v>
      </c>
      <c r="BQ25" s="23">
        <v>11</v>
      </c>
      <c r="BR25" s="23">
        <v>22</v>
      </c>
    </row>
    <row r="26" spans="1:70" ht="15" customHeight="1" x14ac:dyDescent="0.25">
      <c r="A26">
        <v>2016</v>
      </c>
      <c r="B26" t="s">
        <v>4</v>
      </c>
      <c r="C26" t="s">
        <v>5</v>
      </c>
      <c r="D26" t="s">
        <v>12</v>
      </c>
      <c r="E26">
        <v>12</v>
      </c>
      <c r="F26" t="s">
        <v>211</v>
      </c>
      <c r="G26" t="s">
        <v>233</v>
      </c>
      <c r="H26" t="s">
        <v>233</v>
      </c>
      <c r="I26" t="s">
        <v>233</v>
      </c>
      <c r="J26" t="s">
        <v>234</v>
      </c>
      <c r="K26" t="s">
        <v>234</v>
      </c>
      <c r="L26" t="s">
        <v>234</v>
      </c>
      <c r="M26" s="14">
        <v>42803</v>
      </c>
      <c r="N26" s="14" t="str">
        <f t="shared" si="0"/>
        <v>2017</v>
      </c>
      <c r="O26" s="55" t="s">
        <v>27</v>
      </c>
      <c r="P26" s="56"/>
      <c r="Q26" s="56"/>
      <c r="R26" s="56"/>
      <c r="S26" s="56"/>
      <c r="T26" s="57"/>
      <c r="U26" s="5">
        <f>COUNTIFS(   D4:D451,"Fisiopatología de las enfermedades médico-quirúrgicas")</f>
        <v>23</v>
      </c>
      <c r="V26" s="5">
        <f>COUNTIFS(   D4:D451,"Fisiopatología de las enfermedades médico-quirúrgicas",F4:F451,"Hombre")</f>
        <v>8</v>
      </c>
      <c r="W26" s="5">
        <f>COUNTIFS(   D4:D451,"Fisiopatología de las enfermedades médico-quirúrgicas",F4:F451,"Mujer")</f>
        <v>15</v>
      </c>
      <c r="X26" s="29">
        <f>COUNTIFS(   A4:A451,"2013", D4:D451,"Fisiopatología de las enfermedades médico-quirúrgicas")</f>
        <v>0</v>
      </c>
      <c r="Y26" s="5">
        <f>COUNTIFS(   A4:A451,"2014", D4:D451,"Fisiopatología de las enfermedades médico-quirúrgicas")</f>
        <v>0</v>
      </c>
      <c r="Z26" s="5">
        <f>COUNTIFS(   A4:A451,"2015", D4:D451,"Fisiopatología de las enfermedades médico-quirúrgicas")</f>
        <v>3</v>
      </c>
      <c r="AA26" s="5">
        <f>COUNTIFS(   A4:A451,"2016", D4:D451,"Fisiopatología de las enfermedades médico-quirúrgicas")</f>
        <v>7</v>
      </c>
      <c r="AB26" s="5">
        <f>COUNTIFS(   A4:A451,"2017", D4:D451,"Fisiopatología de las enfermedades médico-quirúrgicas")</f>
        <v>13</v>
      </c>
      <c r="AC26" s="29">
        <f>COUNTIFS(   N4:N451,"2014", D4:D451,"Fisiopatología de las enfermedades médico-quirúrgicas")</f>
        <v>0</v>
      </c>
      <c r="AD26" s="5">
        <f>COUNTIFS(   N4:N451,"2015", D4:D451,"Fisiopatología de las enfermedades médico-quirúrgicas")</f>
        <v>1</v>
      </c>
      <c r="AE26" s="5">
        <f>COUNTIFS(   N4:N451,"2016", D4:D451,"Fisiopatología de las enfermedades médico-quirúrgicas")</f>
        <v>4</v>
      </c>
      <c r="AF26" s="5">
        <f>COUNTIFS(   N4:N451,"2017", D4:D451,"Fisiopatología de las enfermedades médico-quirúrgicas")</f>
        <v>11</v>
      </c>
      <c r="AG26" s="5">
        <f>COUNTIFS(   N4:N451,"2018", D4:D451,"Fisiopatología de las enfermedades médico-quirúrgicas")</f>
        <v>7</v>
      </c>
      <c r="AH26" s="5">
        <f>COUNTIFS(   D4:D451,"Fisiopatología de las enfermedades médico-quirúrgicas",G4:G451,"Sí")</f>
        <v>0</v>
      </c>
      <c r="AI26" s="5">
        <f>COUNTIFS(   D4:D451,"Fisiopatología de las enfermedades médico-quirúrgicas",G4:G451,"No")</f>
        <v>23</v>
      </c>
      <c r="AJ26" s="5">
        <f>SUMIFS( E4:E451, D4:D451,"Fisiopatología de las enfermedades médico-quirúrgicas",G4:G451,"Sí")</f>
        <v>0</v>
      </c>
      <c r="AK26" s="5">
        <f>SUMIFS( E4:E451, D4:D451,"Fisiopatología de las enfermedades médico-quirúrgicas",G4:G451,"No")</f>
        <v>359</v>
      </c>
      <c r="AL26" s="5">
        <f>COUNTIFS(   D4:D451,"Fisiopatología de las enfermedades médico-quirúrgicas",H4:H451,"Sí")</f>
        <v>3</v>
      </c>
      <c r="AM26" s="5">
        <f>COUNTIFS(   D4:D451,"Fisiopatología de las enfermedades médico-quirúrgicas",I4:I451,"Sí")</f>
        <v>5</v>
      </c>
      <c r="AN26" s="5">
        <f>COUNTIFS(   D4:D451,"Fisiopatología de las enfermedades médico-quirúrgicas",I4:I451,"No")</f>
        <v>18</v>
      </c>
      <c r="AO26" s="5">
        <f>SUMIFS( E4:E451, D4:D451,"Fisiopatología de las enfermedades médico-quirúrgicas",I4:I451,"Sí")</f>
        <v>66</v>
      </c>
      <c r="AP26" s="5">
        <f>SUMIFS( E4:E451, D4:D451,"Fisiopatología de las enfermedades médico-quirúrgicas",I4:I451,"No")</f>
        <v>293</v>
      </c>
      <c r="AQ26" s="5">
        <f>COUNTIFS(   D4:D451,"Fisiopatología de las enfermedades médico-quirúrgicas",J4:J451,"Sí")</f>
        <v>22</v>
      </c>
      <c r="AR26" s="5">
        <f>COUNTIFS(   D4:D451,"Fisiopatología de las enfermedades médico-quirúrgicas",K4:K451,"Sí")</f>
        <v>12</v>
      </c>
      <c r="AS26" s="5">
        <f>COUNTIFS(   D4:D451,"Fisiopatología de las enfermedades médico-quirúrgicas",L4:L451,"Sí")</f>
        <v>22</v>
      </c>
      <c r="AT26" s="5">
        <f>SUMIFS( E4:E451, D4:D451,"Fisiopatología de las enfermedades médico-quirúrgicas")</f>
        <v>359</v>
      </c>
      <c r="AU26" s="5">
        <f>SUMIFS( E4:E451, F4:F451,"Hombre", D4:D451,"Fisiopatología de las enfermedades médico-quirúrgicas")</f>
        <v>170</v>
      </c>
      <c r="AV26" s="5">
        <f>SUMIFS( E4:E451, F4:F451,"Mujer", D4:D451,"Fisiopatología de las enfermedades médico-quirúrgicas")</f>
        <v>189</v>
      </c>
      <c r="AW26" s="29">
        <f>SUMIFS( E4:E451, A4:A451,"2013", D4:D451,"Fisiopatología de las enfermedades médico-quirúrgicas")</f>
        <v>0</v>
      </c>
      <c r="AX26" s="5">
        <f>SUMIFS( E4:E451, A4:A451,"2014", D4:D451,"Fisiopatología de las enfermedades médico-quirúrgicas")</f>
        <v>0</v>
      </c>
      <c r="AY26" s="5">
        <f>SUMIFS( E4:E451, A4:A451,"2015", D4:D451,"Fisiopatología de las enfermedades médico-quirúrgicas")</f>
        <v>79</v>
      </c>
      <c r="AZ26" s="5">
        <f>SUMIFS( E4:E451, A4:A451,"2016", D4:D451,"Fisiopatología de las enfermedades médico-quirúrgicas")</f>
        <v>78</v>
      </c>
      <c r="BA26" s="5">
        <f>SUMIFS( E4:E451, A4:A451,"2017", D4:D451,"Fisiopatología de las enfermedades médico-quirúrgicas")</f>
        <v>202</v>
      </c>
      <c r="BB26" s="29">
        <f>SUMIFS( E4:E451, N4:N451,"2014", D4:D451,"Fisiopatología de las enfermedades médico-quirúrgicas")</f>
        <v>0</v>
      </c>
      <c r="BC26" s="5">
        <f>SUMIFS( E4:E451, N4:N451,"2015", D4:D451,"Fisiopatología de las enfermedades médico-quirúrgicas")</f>
        <v>10</v>
      </c>
      <c r="BD26" s="5">
        <f>SUMIFS( E4:E451, N4:N451,"2016", D4:D451,"Fisiopatología de las enfermedades médico-quirúrgicas")</f>
        <v>113</v>
      </c>
      <c r="BE26" s="5">
        <f>SUMIFS( E4:E451, N4:N451,"2017", D4:D451,"Fisiopatología de las enfermedades médico-quirúrgicas")</f>
        <v>97</v>
      </c>
      <c r="BF26" s="5">
        <f>SUMIFS( E4:E451, N4:N451,"2018", D4:D451,"Fisiopatología de las enfermedades médico-quirúrgicas")</f>
        <v>139</v>
      </c>
      <c r="BG26" s="23">
        <f>AVERAGEIFS( E4:E451, D4:D451,"Fisiopatología de las enfermedades médico-quirúrgicas")</f>
        <v>15.608695652173912</v>
      </c>
      <c r="BH26" s="23">
        <v>0</v>
      </c>
      <c r="BI26" s="23">
        <v>0</v>
      </c>
      <c r="BJ26" s="23">
        <f>AVERAGEIFS( E4:E451, A4:A451,"2015", D4:D451,"Fisiopatología de las enfermedades médico-quirúrgicas")</f>
        <v>26.333333333333332</v>
      </c>
      <c r="BK26" s="23">
        <f>AVERAGEIFS( E4:E451, A4:A451,"2016", D4:D451,"Fisiopatología de las enfermedades médico-quirúrgicas")</f>
        <v>11.142857142857142</v>
      </c>
      <c r="BL26" s="23">
        <f>AVERAGEIFS( E4:E451, A4:A451,"2017", D4:D451,"Fisiopatología de las enfermedades médico-quirúrgicas")</f>
        <v>15.538461538461538</v>
      </c>
      <c r="BM26" s="23">
        <v>16.136363636363637</v>
      </c>
      <c r="BN26" s="23">
        <v>0</v>
      </c>
      <c r="BO26" s="23">
        <v>0</v>
      </c>
      <c r="BP26" s="23">
        <v>26.333333333333332</v>
      </c>
      <c r="BQ26" s="23">
        <v>12.333333333333334</v>
      </c>
      <c r="BR26" s="23">
        <v>15.538461538461538</v>
      </c>
    </row>
    <row r="27" spans="1:70" ht="15" customHeight="1" x14ac:dyDescent="0.25">
      <c r="A27">
        <v>2016</v>
      </c>
      <c r="B27" t="s">
        <v>4</v>
      </c>
      <c r="C27" t="s">
        <v>5</v>
      </c>
      <c r="D27" t="s">
        <v>10</v>
      </c>
      <c r="E27" s="17">
        <v>8</v>
      </c>
      <c r="F27" t="s">
        <v>215</v>
      </c>
      <c r="G27" t="s">
        <v>233</v>
      </c>
      <c r="H27" t="s">
        <v>233</v>
      </c>
      <c r="I27" t="s">
        <v>233</v>
      </c>
      <c r="J27" t="s">
        <v>234</v>
      </c>
      <c r="K27" t="s">
        <v>234</v>
      </c>
      <c r="L27" t="s">
        <v>234</v>
      </c>
      <c r="M27" s="14">
        <v>42783</v>
      </c>
      <c r="N27" s="14" t="str">
        <f t="shared" si="0"/>
        <v>2017</v>
      </c>
      <c r="O27" s="55" t="s">
        <v>26</v>
      </c>
      <c r="P27" s="56"/>
      <c r="Q27" s="56"/>
      <c r="R27" s="56"/>
      <c r="S27" s="56"/>
      <c r="T27" s="57"/>
      <c r="U27" s="5">
        <f>COUNTIFS(   D4:D451,"Investigación en odontología clínica")</f>
        <v>3</v>
      </c>
      <c r="V27" s="5">
        <f>COUNTIFS(   D4:D451,"Investigación en odontología clínica",F4:F451,"Hombre")</f>
        <v>2</v>
      </c>
      <c r="W27" s="5">
        <f>COUNTIFS(   D4:D451,"Investigación en odontología clínica",F4:F451,"Mujer")</f>
        <v>1</v>
      </c>
      <c r="X27" s="29">
        <f>COUNTIFS(   A4:A451,"2013", D4:D451,"Investigación en odontología clínica")</f>
        <v>0</v>
      </c>
      <c r="Y27" s="5">
        <f>COUNTIFS(   A4:A451,"2014", D4:D451,"Investigación en odontología clínica")</f>
        <v>0</v>
      </c>
      <c r="Z27" s="5">
        <f>COUNTIFS(   A4:A451,"2015", D4:D451,"Investigación en odontología clínica")</f>
        <v>0</v>
      </c>
      <c r="AA27" s="5">
        <f>COUNTIFS(   A4:A451,"2016", D4:D451,"Investigación en odontología clínica")</f>
        <v>1</v>
      </c>
      <c r="AB27" s="5">
        <f>COUNTIFS(   A4:A451,"2017", D4:D451,"Investigación en odontología clínica")</f>
        <v>2</v>
      </c>
      <c r="AC27" s="29">
        <f>COUNTIFS(   N4:N451,"2014", D4:D451,"Investigación en odontología clínica")</f>
        <v>0</v>
      </c>
      <c r="AD27" s="5">
        <f>COUNTIFS(   N4:N451,"2015", D4:D451,"Investigación en odontología clínica")</f>
        <v>0</v>
      </c>
      <c r="AE27" s="5">
        <f>COUNTIFS(   N4:N451,"2016", D4:D451,"Investigación en odontología clínica")</f>
        <v>0</v>
      </c>
      <c r="AF27" s="5">
        <f>COUNTIFS(   N4:N451,"2017", D4:D451,"Investigación en odontología clínica")</f>
        <v>2</v>
      </c>
      <c r="AG27" s="5">
        <f>COUNTIFS(   N4:N451,"2018", D4:D451,"Investigación en odontología clínica")</f>
        <v>1</v>
      </c>
      <c r="AH27" s="5">
        <f>COUNTIFS(   D4:D451,"Investigación en odontología clínica",G4:G451,"Sí")</f>
        <v>0</v>
      </c>
      <c r="AI27" s="5">
        <f>COUNTIFS(   D4:D451,"Investigación en odontología clínica",G4:G451,"No")</f>
        <v>3</v>
      </c>
      <c r="AJ27" s="5">
        <f>SUMIFS( E4:E451, D4:D451,"Investigación en odontología clínica",G4:G451,"Sí")</f>
        <v>0</v>
      </c>
      <c r="AK27" s="5">
        <f>SUMIFS( E4:E451, D4:D451,"Investigación en odontología clínica",G4:G451,"No")</f>
        <v>16</v>
      </c>
      <c r="AL27" s="5">
        <f>COUNTIFS(   D4:D451,"Investigación en odontología clínica",H4:H451,"Sí")</f>
        <v>0</v>
      </c>
      <c r="AM27" s="5">
        <f>COUNTIFS(   D4:D451,"Investigación en odontología clínica",I4:I451,"Sí")</f>
        <v>1</v>
      </c>
      <c r="AN27" s="5">
        <f>COUNTIFS(   D4:D451,"Investigación en odontología clínica",I4:I451,"No")</f>
        <v>2</v>
      </c>
      <c r="AO27" s="5">
        <f>SUMIFS( E4:E451, D4:D451,"Investigación en odontología clínica",I4:I451,"Sí")</f>
        <v>10</v>
      </c>
      <c r="AP27" s="5">
        <f>SUMIFS( E4:E451, D4:D451,"Investigación en odontología clínica",I4:I451,"No")</f>
        <v>6</v>
      </c>
      <c r="AQ27" s="5">
        <f>COUNTIFS(   D4:D451,"Investigación en odontología clínica",J4:J451,"Sí")</f>
        <v>2</v>
      </c>
      <c r="AR27" s="5">
        <f>COUNTIFS(   D4:D451,"Investigación en odontología clínica",K4:K451,"Sí")</f>
        <v>1</v>
      </c>
      <c r="AS27" s="5">
        <f>COUNTIFS(   D4:D451,"Investigación en odontología clínica",L4:L451,"Sí")</f>
        <v>2</v>
      </c>
      <c r="AT27" s="5">
        <f>SUMIFS( E4:E451, D4:D451,"Investigación en odontología clínica")</f>
        <v>16</v>
      </c>
      <c r="AU27" s="5">
        <f>SUMIFS( E4:E451, F4:F451,"Hombre", D4:D451,"Investigación en odontología clínica")</f>
        <v>14</v>
      </c>
      <c r="AV27" s="5">
        <f>SUMIFS( E4:E451, F4:F451,"Mujer", D4:D451,"Investigación en odontología clínica")</f>
        <v>2</v>
      </c>
      <c r="AW27" s="29">
        <f>SUMIFS( E4:E451, A4:A451,"2013", D4:D451,"Investigación en odontología clínica")</f>
        <v>0</v>
      </c>
      <c r="AX27" s="5">
        <f>SUMIFS( E4:E451, A4:A451,"2014", D4:D451,"Investigación en odontología clínica")</f>
        <v>0</v>
      </c>
      <c r="AY27" s="5">
        <f>SUMIFS( E4:E451, A4:A451,"2015", D4:D451,"Investigación en odontología clínica")</f>
        <v>0</v>
      </c>
      <c r="AZ27" s="5">
        <f>SUMIFS( E4:E451, A4:A451,"2016", D4:D451,"Investigación en odontología clínica")</f>
        <v>4</v>
      </c>
      <c r="BA27" s="5">
        <f>SUMIFS( E4:E451, A4:A451,"2017", D4:D451,"Investigación en odontología clínica")</f>
        <v>12</v>
      </c>
      <c r="BB27" s="29">
        <f>SUMIFS( E4:E451, N4:N451,"2014", D4:D451,"Investigación en odontología clínica")</f>
        <v>0</v>
      </c>
      <c r="BC27" s="5">
        <f>SUMIFS( E4:E451, N4:N451,"2015", D4:D451,"Investigación en odontología clínica")</f>
        <v>0</v>
      </c>
      <c r="BD27" s="5">
        <f>SUMIFS( E4:E451, N4:N451,"2016", D4:D451,"Investigación en odontología clínica")</f>
        <v>0</v>
      </c>
      <c r="BE27" s="5">
        <f>SUMIFS( E4:E451, N4:N451,"2017", D4:D451,"Investigación en odontología clínica")</f>
        <v>6</v>
      </c>
      <c r="BF27" s="5">
        <f>SUMIFS( E4:E451, N4:N451,"2018", D4:D451,"Investigación en odontología clínica")</f>
        <v>10</v>
      </c>
      <c r="BG27" s="23">
        <f>AVERAGEIFS( E4:E451, D4:D451,"Investigación en odontología clínica")</f>
        <v>5.333333333333333</v>
      </c>
      <c r="BH27" s="23">
        <v>0</v>
      </c>
      <c r="BI27" s="23">
        <v>0</v>
      </c>
      <c r="BJ27" s="23">
        <v>0</v>
      </c>
      <c r="BK27" s="23">
        <f>AVERAGEIFS( E4:E451, A4:A451,"2016", D4:D451,"Investigación en odontología clínica")</f>
        <v>4</v>
      </c>
      <c r="BL27" s="23">
        <f>AVERAGEIFS( E4:E451, A4:A451,"2017", D4:D451,"Investigación en odontología clínica")</f>
        <v>6</v>
      </c>
      <c r="BM27" s="23">
        <v>5.333333333333333</v>
      </c>
      <c r="BN27" s="23">
        <v>0</v>
      </c>
      <c r="BO27" s="23">
        <v>0</v>
      </c>
      <c r="BP27" s="23">
        <v>0</v>
      </c>
      <c r="BQ27" s="23">
        <v>4</v>
      </c>
      <c r="BR27" s="23">
        <v>6</v>
      </c>
    </row>
    <row r="28" spans="1:70" ht="15" customHeight="1" x14ac:dyDescent="0.25">
      <c r="A28">
        <v>2016</v>
      </c>
      <c r="B28" t="s">
        <v>4</v>
      </c>
      <c r="C28" t="s">
        <v>5</v>
      </c>
      <c r="D28" t="s">
        <v>12</v>
      </c>
      <c r="E28" s="17">
        <v>18</v>
      </c>
      <c r="F28" t="s">
        <v>211</v>
      </c>
      <c r="G28" t="s">
        <v>233</v>
      </c>
      <c r="H28" t="s">
        <v>234</v>
      </c>
      <c r="I28" t="s">
        <v>234</v>
      </c>
      <c r="J28" t="s">
        <v>234</v>
      </c>
      <c r="K28" t="s">
        <v>234</v>
      </c>
      <c r="L28" t="s">
        <v>234</v>
      </c>
      <c r="M28" s="14">
        <v>42772</v>
      </c>
      <c r="N28" s="14" t="str">
        <f t="shared" si="0"/>
        <v>2017</v>
      </c>
      <c r="O28" s="55" t="s">
        <v>24</v>
      </c>
      <c r="P28" s="56"/>
      <c r="Q28" s="56"/>
      <c r="R28" s="56"/>
      <c r="S28" s="56"/>
      <c r="T28" s="57"/>
      <c r="U28" s="5">
        <f>COUNTIFS(   D4:D451,"Neurociencias clínicas y dolor")</f>
        <v>2</v>
      </c>
      <c r="V28" s="5">
        <f>COUNTIFS(   D4:D451,"Neurociencias clínicas y dolor",F4:F451,"Hombre")</f>
        <v>1</v>
      </c>
      <c r="W28" s="5">
        <f>COUNTIFS(   D4:D451,"Neurociencias clínicas y dolor",F4:F451,"Mujer")</f>
        <v>1</v>
      </c>
      <c r="X28" s="29">
        <f>COUNTIFS(   A4:A451,"2013", D4:D451,"Neurociencias clínicas y dolor")</f>
        <v>0</v>
      </c>
      <c r="Y28" s="5">
        <f>COUNTIFS(   A4:A451,"2014", D4:D451,"Neurociencias clínicas y dolor")</f>
        <v>0</v>
      </c>
      <c r="Z28" s="5">
        <f>COUNTIFS(   A4:A451,"2015", D4:D451,"Neurociencias clínicas y dolor")</f>
        <v>0</v>
      </c>
      <c r="AA28" s="5">
        <f>COUNTIFS(   A4:A451,"2016", D4:D451,"Neurociencias clínicas y dolor")</f>
        <v>1</v>
      </c>
      <c r="AB28" s="5">
        <f>COUNTIFS(   A4:A451,"2017", D4:D451,"Neurociencias clínicas y dolor")</f>
        <v>1</v>
      </c>
      <c r="AC28" s="29">
        <f>COUNTIFS(   N4:N451,"2014", D4:D451,"Neurociencias clínicas y dolor")</f>
        <v>0</v>
      </c>
      <c r="AD28" s="5">
        <f>COUNTIFS(   N4:N451,"2015", D4:D451,"Neurociencias clínicas y dolor")</f>
        <v>0</v>
      </c>
      <c r="AE28" s="5">
        <f>COUNTIFS(   N4:N451,"2016", D4:D451,"Neurociencias clínicas y dolor")</f>
        <v>0</v>
      </c>
      <c r="AF28" s="5">
        <f>COUNTIFS(   N4:N451,"2017", D4:D451,"Neurociencias clínicas y dolor")</f>
        <v>1</v>
      </c>
      <c r="AG28" s="5">
        <f>COUNTIFS(   N4:N451,"2018", D4:D451,"Neurociencias clínicas y dolor")</f>
        <v>1</v>
      </c>
      <c r="AH28" s="5">
        <f>COUNTIFS(   D4:D451,"Neurociencias clínicas y dolor",G4:G451,"Sí")</f>
        <v>0</v>
      </c>
      <c r="AI28" s="5">
        <f>COUNTIFS(   D4:D451,"Neurociencias clínicas y dolor",G4:G451,"No")</f>
        <v>2</v>
      </c>
      <c r="AJ28" s="5">
        <f>SUMIFS( E4:E451, D4:D451,"Neurociencias clínicas y dolor",G4:G451,"Sí")</f>
        <v>0</v>
      </c>
      <c r="AK28" s="5">
        <f>SUMIFS( E4:E451, D4:D451,"Neurociencias clínicas y dolor",G4:G451,"No")</f>
        <v>11</v>
      </c>
      <c r="AL28" s="5">
        <f>COUNTIFS(   D4:D451,"Neurociencias clínicas y dolor",H4:H451,"Sí")</f>
        <v>0</v>
      </c>
      <c r="AM28" s="5">
        <f>COUNTIFS(   D4:D451,"Neurociencias clínicas y dolor",I4:I451,"Sí")</f>
        <v>0</v>
      </c>
      <c r="AN28" s="5">
        <f>COUNTIFS(   D4:D451,"Neurociencias clínicas y dolor",I4:I451,"No")</f>
        <v>2</v>
      </c>
      <c r="AO28" s="5">
        <f>SUMIFS( E4:E451, D4:D451,"Neurociencias clínicas y dolor",I4:I451,"Sí")</f>
        <v>0</v>
      </c>
      <c r="AP28" s="5">
        <f>SUMIFS( E4:E451, D4:D451,"Neurociencias clínicas y dolor",I4:I451,"No")</f>
        <v>11</v>
      </c>
      <c r="AQ28" s="5">
        <f>COUNTIFS(   D4:D451,"Neurociencias clínicas y dolor",J4:J451,"Sí")</f>
        <v>1</v>
      </c>
      <c r="AR28" s="5">
        <f>COUNTIFS(   D4:D451,"Neurociencias clínicas y dolor",K4:K451,"Sí")</f>
        <v>0</v>
      </c>
      <c r="AS28" s="5">
        <f>COUNTIFS(   D4:D451,"Neurociencias clínicas y dolor",L4:L451,"Sí")</f>
        <v>1</v>
      </c>
      <c r="AT28" s="5">
        <f>SUMIFS( E4:E451, D4:D451,"Neurociencias clínicas y dolor")</f>
        <v>11</v>
      </c>
      <c r="AU28" s="5">
        <f>SUMIFS( E4:E451, F4:F451,"Hombre", D4:D451,"Neurociencias clínicas y dolor")</f>
        <v>4</v>
      </c>
      <c r="AV28" s="5">
        <f>SUMIFS( E4:E451, F4:F451,"Mujer", D4:D451,"Neurociencias clínicas y dolor")</f>
        <v>7</v>
      </c>
      <c r="AW28" s="29">
        <f>SUMIFS( E4:E451, A4:A451,"2013", D4:D451,"Neurociencias clínicas y dolor")</f>
        <v>0</v>
      </c>
      <c r="AX28" s="5">
        <f>SUMIFS( E4:E451, A4:A451,"2014", D4:D451,"Neurociencias clínicas y dolor")</f>
        <v>0</v>
      </c>
      <c r="AY28" s="5">
        <f>SUMIFS( E4:E451, A4:A451,"2015", D4:D451,"Neurociencias clínicas y dolor")</f>
        <v>0</v>
      </c>
      <c r="AZ28" s="5">
        <f>SUMIFS( E4:E451, A4:A451,"2016", D4:D451,"Neurociencias clínicas y dolor")</f>
        <v>7</v>
      </c>
      <c r="BA28" s="5">
        <f>SUMIFS( E4:E451, A4:A451,"2017", D4:D451,"Neurociencias clínicas y dolor")</f>
        <v>4</v>
      </c>
      <c r="BB28" s="29">
        <f>SUMIFS( E4:E451, N4:N451,"2014", D4:D451,"Neurociencias clínicas y dolor")</f>
        <v>0</v>
      </c>
      <c r="BC28" s="5">
        <f>SUMIFS( E4:E451, N4:N451,"2015", D4:D451,"Neurociencias clínicas y dolor")</f>
        <v>0</v>
      </c>
      <c r="BD28" s="5">
        <f>SUMIFS( E4:E451, N4:N451,"2016", D4:D451,"Neurociencias clínicas y dolor")</f>
        <v>0</v>
      </c>
      <c r="BE28" s="5">
        <f>SUMIFS( E4:E451, N4:N451,"2017", D4:D451,"Neurociencias clínicas y dolor")</f>
        <v>7</v>
      </c>
      <c r="BF28" s="5">
        <f>SUMIFS( E4:E451, N4:N451,"2018", D4:D451,"Neurociencias clínicas y dolor")</f>
        <v>4</v>
      </c>
      <c r="BG28" s="23">
        <f>AVERAGEIFS( E4:E451, D4:D451,"Neurociencias clínicas y dolor")</f>
        <v>5.5</v>
      </c>
      <c r="BH28" s="23">
        <v>0</v>
      </c>
      <c r="BI28" s="23">
        <v>0</v>
      </c>
      <c r="BJ28" s="23">
        <v>0</v>
      </c>
      <c r="BK28" s="23">
        <f>AVERAGEIFS( E4:E451, A4:A451,"2016", D4:D451,"Neurociencias clínicas y dolor")</f>
        <v>7</v>
      </c>
      <c r="BL28" s="23">
        <f>AVERAGEIFS( E4:E451, A4:A451,"2017", D4:D451,"Neurociencias clínicas y dolor")</f>
        <v>4</v>
      </c>
      <c r="BM28" s="23">
        <v>5.5</v>
      </c>
      <c r="BN28" s="23">
        <v>0</v>
      </c>
      <c r="BO28" s="23">
        <v>0</v>
      </c>
      <c r="BP28" s="23">
        <v>0</v>
      </c>
      <c r="BQ28" s="23">
        <v>7</v>
      </c>
      <c r="BR28" s="23">
        <v>4</v>
      </c>
    </row>
    <row r="29" spans="1:70" ht="15" customHeight="1" x14ac:dyDescent="0.25">
      <c r="A29">
        <v>2016</v>
      </c>
      <c r="B29" t="s">
        <v>4</v>
      </c>
      <c r="C29" t="s">
        <v>5</v>
      </c>
      <c r="D29" t="s">
        <v>10</v>
      </c>
      <c r="E29">
        <v>8</v>
      </c>
      <c r="F29" t="s">
        <v>211</v>
      </c>
      <c r="G29" t="s">
        <v>233</v>
      </c>
      <c r="H29" t="s">
        <v>233</v>
      </c>
      <c r="I29" t="s">
        <v>233</v>
      </c>
      <c r="J29" t="s">
        <v>234</v>
      </c>
      <c r="K29" t="s">
        <v>233</v>
      </c>
      <c r="L29" t="s">
        <v>234</v>
      </c>
      <c r="M29" s="14">
        <v>42678</v>
      </c>
      <c r="N29" s="14" t="str">
        <f t="shared" si="0"/>
        <v>2016</v>
      </c>
      <c r="O29" s="55" t="s">
        <v>25</v>
      </c>
      <c r="P29" s="56"/>
      <c r="Q29" s="56"/>
      <c r="R29" s="56"/>
      <c r="S29" s="56"/>
      <c r="T29" s="57"/>
      <c r="U29" s="5">
        <f>COUNTIFS(   D4:D451,"Radiología y medicina física")</f>
        <v>5</v>
      </c>
      <c r="V29" s="5">
        <f>COUNTIFS(   D4:D451,"Radiología y medicina física",F4:F451,"Hombre")</f>
        <v>2</v>
      </c>
      <c r="W29" s="5">
        <f>COUNTIFS(   D4:D451,"Radiología y medicina física",F4:F451,"Mujer")</f>
        <v>3</v>
      </c>
      <c r="X29" s="29">
        <f>COUNTIFS(   A4:A451,"2013", D4:D451,"Radiología y medicina física")</f>
        <v>0</v>
      </c>
      <c r="Y29" s="5">
        <f>COUNTIFS(   A4:A451,"2014", D4:D451,"Radiología y medicina física")</f>
        <v>0</v>
      </c>
      <c r="Z29" s="5">
        <f>COUNTIFS(   A4:A451,"2015", D4:D451,"Radiología y medicina física")</f>
        <v>1</v>
      </c>
      <c r="AA29" s="5">
        <f>COUNTIFS(   A4:A451,"2016", D4:D451,"Radiología y medicina física")</f>
        <v>2</v>
      </c>
      <c r="AB29" s="5">
        <f>COUNTIFS(   A4:A451,"2017", D4:D451,"Radiología y medicina física")</f>
        <v>2</v>
      </c>
      <c r="AC29" s="29">
        <f>COUNTIFS(   N4:N451,"2014", D4:D451,"Radiología y medicina física")</f>
        <v>0</v>
      </c>
      <c r="AD29" s="5">
        <f>COUNTIFS(   N4:N451,"2015", D4:D451,"Radiología y medicina física")</f>
        <v>0</v>
      </c>
      <c r="AE29" s="5">
        <f>COUNTIFS(   N4:N451,"2016", D4:D451,"Radiología y medicina física")</f>
        <v>1</v>
      </c>
      <c r="AF29" s="5">
        <f>COUNTIFS(   N4:N451,"2017", D4:D451,"Radiología y medicina física")</f>
        <v>2</v>
      </c>
      <c r="AG29" s="5">
        <f>COUNTIFS(   N4:N451,"2018", D4:D451,"Radiología y medicina física")</f>
        <v>2</v>
      </c>
      <c r="AH29" s="5">
        <f>COUNTIFS(   D4:D451,"Radiología y medicina física",G4:G451,"Sí")</f>
        <v>0</v>
      </c>
      <c r="AI29" s="5">
        <f>COUNTIFS(   D4:D451,"Radiología y medicina física",G4:G451,"No")</f>
        <v>5</v>
      </c>
      <c r="AJ29" s="5">
        <f>SUMIFS( E4:E451, D4:D451,"Radiología y medicina física",G4:G451,"Sí")</f>
        <v>0</v>
      </c>
      <c r="AK29" s="5">
        <f>SUMIFS( E4:E451, D4:D451,"Radiología y medicina física",G4:G451,"No")</f>
        <v>105</v>
      </c>
      <c r="AL29" s="5">
        <f>COUNTIFS(   D4:D451,"Radiología y medicina física",H4:H451,"Sí")</f>
        <v>2</v>
      </c>
      <c r="AM29" s="5">
        <f>COUNTIFS(   D4:D451,"Radiología y medicina física",I4:I451,"Sí")</f>
        <v>3</v>
      </c>
      <c r="AN29" s="5">
        <f>COUNTIFS(   D4:D451,"Radiología y medicina física",I4:I451,"No")</f>
        <v>2</v>
      </c>
      <c r="AO29" s="5">
        <f>SUMIFS( E4:E451, D4:D451,"Radiología y medicina física",I4:I451,"Sí")</f>
        <v>74</v>
      </c>
      <c r="AP29" s="5">
        <f>SUMIFS( E4:E451, D4:D451,"Radiología y medicina física",I4:I451,"No")</f>
        <v>31</v>
      </c>
      <c r="AQ29" s="5">
        <f>COUNTIFS(   D4:D451,"Radiología y medicina física",J4:J451,"Sí")</f>
        <v>4</v>
      </c>
      <c r="AR29" s="5">
        <f>COUNTIFS(   D4:D451,"Radiología y medicina física",K4:K451,"Sí")</f>
        <v>3</v>
      </c>
      <c r="AS29" s="5">
        <f>COUNTIFS(   D4:D451,"Radiología y medicina física",L4:L451,"Sí")</f>
        <v>4</v>
      </c>
      <c r="AT29" s="5">
        <f>SUMIFS( E4:E451, D4:D451,"Radiología y medicina física")</f>
        <v>105</v>
      </c>
      <c r="AU29" s="5">
        <f>SUMIFS( E4:E451, F4:F451,"Hombre", D4:D451,"Radiología y medicina física")</f>
        <v>43</v>
      </c>
      <c r="AV29" s="5">
        <f>SUMIFS( E4:E451, F4:F451,"Mujer", D4:D451,"Radiología y medicina física")</f>
        <v>62</v>
      </c>
      <c r="AW29" s="29">
        <f>SUMIFS( E4:E451, A4:A451,"2013", D4:D451,"Radiología y medicina física")</f>
        <v>0</v>
      </c>
      <c r="AX29" s="5">
        <f>SUMIFS( E4:E451, A4:A451,"2014", D4:D451,"Radiología y medicina física")</f>
        <v>0</v>
      </c>
      <c r="AY29" s="5">
        <f>SUMIFS( E4:E451, A4:A451,"2015", D4:D451,"Radiología y medicina física")</f>
        <v>19</v>
      </c>
      <c r="AZ29" s="5">
        <f>SUMIFS( E4:E451, A4:A451,"2016", D4:D451,"Radiología y medicina física")</f>
        <v>55</v>
      </c>
      <c r="BA29" s="5">
        <f>SUMIFS( E4:E451, A4:A451,"2017", D4:D451,"Radiología y medicina física")</f>
        <v>31</v>
      </c>
      <c r="BB29" s="29">
        <f>SUMIFS( E4:E451, N4:N451,"2014", D4:D451,"Radiología y medicina física")</f>
        <v>0</v>
      </c>
      <c r="BC29" s="5">
        <f>SUMIFS( E4:E451, N4:N451,"2015", D4:D451,"Radiología y medicina física")</f>
        <v>0</v>
      </c>
      <c r="BD29" s="5">
        <f>SUMIFS( E4:E451, N4:N451,"2016", D4:D451,"Radiología y medicina física")</f>
        <v>19</v>
      </c>
      <c r="BE29" s="5">
        <f>SUMIFS( E4:E451, N4:N451,"2017", D4:D451,"Radiología y medicina física")</f>
        <v>55</v>
      </c>
      <c r="BF29" s="5">
        <f>SUMIFS( E4:E451, N4:N451,"2018", D4:D451,"Radiología y medicina física")</f>
        <v>31</v>
      </c>
      <c r="BG29" s="23">
        <f>AVERAGEIFS( E4:E451, D4:D451,"Radiología y medicina física")</f>
        <v>21</v>
      </c>
      <c r="BH29" s="23">
        <v>0</v>
      </c>
      <c r="BI29" s="23">
        <v>0</v>
      </c>
      <c r="BJ29" s="23">
        <f>AVERAGEIFS( E4:E451, A4:A451,"2015", D4:D451,"Radiología y medicina física")</f>
        <v>19</v>
      </c>
      <c r="BK29" s="23">
        <f>AVERAGEIFS( E4:E451, A4:A451,"2016", D4:D451,"Radiología y medicina física")</f>
        <v>27.5</v>
      </c>
      <c r="BL29" s="23">
        <f>AVERAGEIFS( E4:E451, A4:A451,"2017", D4:D451,"Radiología y medicina física")</f>
        <v>15.5</v>
      </c>
      <c r="BM29" s="23">
        <v>20.8</v>
      </c>
      <c r="BN29" s="23">
        <v>0</v>
      </c>
      <c r="BO29" s="23">
        <v>0</v>
      </c>
      <c r="BP29" s="23">
        <v>19</v>
      </c>
      <c r="BQ29" s="23">
        <v>27.5</v>
      </c>
      <c r="BR29" s="23">
        <v>15</v>
      </c>
    </row>
    <row r="30" spans="1:70" ht="15" customHeight="1" x14ac:dyDescent="0.25">
      <c r="A30">
        <v>2015</v>
      </c>
      <c r="B30" t="s">
        <v>4</v>
      </c>
      <c r="C30" t="s">
        <v>5</v>
      </c>
      <c r="D30" t="s">
        <v>7</v>
      </c>
      <c r="E30" s="17">
        <v>6</v>
      </c>
      <c r="F30" t="s">
        <v>215</v>
      </c>
      <c r="G30" t="s">
        <v>233</v>
      </c>
      <c r="H30" t="s">
        <v>233</v>
      </c>
      <c r="I30" t="s">
        <v>234</v>
      </c>
      <c r="J30" t="s">
        <v>234</v>
      </c>
      <c r="K30" t="s">
        <v>233</v>
      </c>
      <c r="L30" t="s">
        <v>234</v>
      </c>
      <c r="M30" s="14">
        <v>42559</v>
      </c>
      <c r="N30" s="14" t="str">
        <f t="shared" si="0"/>
        <v>2016</v>
      </c>
      <c r="O30" s="58" t="s">
        <v>47</v>
      </c>
      <c r="P30" s="59"/>
      <c r="Q30" s="59"/>
      <c r="R30" s="59"/>
      <c r="S30" s="59"/>
      <c r="T30" s="60"/>
      <c r="U30" s="4">
        <f>COUNTIFS(   C4:C451,"Nutrición y Ciencias de los Alimentos")</f>
        <v>17</v>
      </c>
      <c r="V30" s="4">
        <f>COUNTIFS(   C4:C451,"Nutrición y Ciencias de los Alimentos",F4:F451,"Hombre")</f>
        <v>9</v>
      </c>
      <c r="W30" s="4">
        <f>COUNTIFS(   C4:C451,"Nutrición y Ciencias de los Alimentos",F4:F451,"Mujer")</f>
        <v>8</v>
      </c>
      <c r="X30" s="28">
        <f>COUNTIFS(   A4:A451,"2013", C4:C451,"Nutrición y Ciencias de los Alimentos")</f>
        <v>1</v>
      </c>
      <c r="Y30" s="4">
        <f>COUNTIFS(   A4:A451,"2014", C4:C451,"Nutrición y Ciencias de los Alimentos")</f>
        <v>1</v>
      </c>
      <c r="Z30" s="4">
        <f>COUNTIFS(   A4:A451,"2015", C4:C451,"Nutrición y Ciencias de los Alimentos")</f>
        <v>2</v>
      </c>
      <c r="AA30" s="4">
        <f>COUNTIFS(   A4:A451,"2016", C4:C451,"Nutrición y Ciencias de los Alimentos")</f>
        <v>7</v>
      </c>
      <c r="AB30" s="4">
        <f>COUNTIFS(   A4:A451,"2017", C4:C451,"Nutrición y Ciencias de los Alimentos")</f>
        <v>6</v>
      </c>
      <c r="AC30" s="28">
        <f>COUNTIFS(   N4:N451,"2014", C4:C451,"Nutrición y Ciencias de los Alimentos")</f>
        <v>1</v>
      </c>
      <c r="AD30" s="4">
        <f>COUNTIFS(   N4:N451,"2015", C4:C451,"Nutrición y Ciencias de los Alimentos")</f>
        <v>2</v>
      </c>
      <c r="AE30" s="4">
        <f>COUNTIFS(   N4:N451,"2016", C4:C451,"Nutrición y Ciencias de los Alimentos")</f>
        <v>3</v>
      </c>
      <c r="AF30" s="4">
        <f>COUNTIFS(   N4:N451,"2017", C4:C451,"Nutrición y Ciencias de los Alimentos")</f>
        <v>6</v>
      </c>
      <c r="AG30" s="4">
        <f>COUNTIFS(   N4:N451,"2018", C4:C451,"Nutrición y Ciencias de los Alimentos")</f>
        <v>5</v>
      </c>
      <c r="AH30" s="4">
        <f>COUNTIFS(   C4:C451,"Nutrición y Ciencias de los Alimentos",G4:G451,"Sí")</f>
        <v>0</v>
      </c>
      <c r="AI30" s="4">
        <f>COUNTIFS(   C4:C451,"Nutrición y Ciencias de los Alimentos",G4:G451,"No")</f>
        <v>17</v>
      </c>
      <c r="AJ30" s="4">
        <f>SUMIFS( E4:E451, C4:C451,"Nutrición y Ciencias de los Alimentos",G4:G451,"Sí")</f>
        <v>0</v>
      </c>
      <c r="AK30" s="4">
        <f>SUMIFS( E4:E451, C4:C451,"Nutrición y Ciencias de los Alimentos",G4:G451,"No")</f>
        <v>115</v>
      </c>
      <c r="AL30" s="4">
        <f>COUNTIFS(   C4:C451,"Nutrición y Ciencias de los Alimentos",H4:H451,"Sí")</f>
        <v>0</v>
      </c>
      <c r="AM30" s="4">
        <f>COUNTIFS(   C4:C451,"Nutrición y Ciencias de los Alimentos",I4:I451,"Sí")</f>
        <v>6</v>
      </c>
      <c r="AN30" s="4">
        <f>COUNTIFS(   C4:C451,"Nutrición y Ciencias de los Alimentos",I4:I451,"No")</f>
        <v>11</v>
      </c>
      <c r="AO30" s="4">
        <f>SUMIFS( E4:E451, C4:C451,"Nutrición y Ciencias de los Alimentos",I4:I451,"Sí")</f>
        <v>51</v>
      </c>
      <c r="AP30" s="4">
        <f>SUMIFS( E4:E451, C4:C451,"Nutrición y Ciencias de los Alimentos",I4:I451,"No")</f>
        <v>64</v>
      </c>
      <c r="AQ30" s="4">
        <f>COUNTIFS(   C4:C451,"Nutrición y Ciencias de los Alimentos",J4:J451,"Sí")</f>
        <v>14</v>
      </c>
      <c r="AR30" s="4">
        <f>COUNTIFS(   C4:C451,"Nutrición y Ciencias de los Alimentos",K4:K451,"Sí")</f>
        <v>5</v>
      </c>
      <c r="AS30" s="4">
        <f>COUNTIFS(   C4:C451,"Nutrición y Ciencias de los Alimentos",L4:L451,"Sí")</f>
        <v>15</v>
      </c>
      <c r="AT30" s="4">
        <f>SUMIFS( E4:E451, C4:C451,"Nutrición y Ciencias de los Alimentos")</f>
        <v>115</v>
      </c>
      <c r="AU30" s="4">
        <f>SUMIFS( E4:E451, F4:F451,"Hombre", C4:C451,"Nutrición y Ciencias de los Alimentos")</f>
        <v>58</v>
      </c>
      <c r="AV30" s="4">
        <f>SUMIFS( E4:E451, F4:F451,"Mujer", C4:C451,"Nutrición y Ciencias de los Alimentos")</f>
        <v>57</v>
      </c>
      <c r="AW30" s="28">
        <f>SUMIFS( E4:E451, A4:A451,"2013", C4:C451,"Nutrición y Ciencias de los Alimentos")</f>
        <v>10</v>
      </c>
      <c r="AX30" s="4">
        <f>SUMIFS( E4:E451, A4:A451,"2014", C4:C451,"Nutrición y Ciencias de los Alimentos")</f>
        <v>1</v>
      </c>
      <c r="AY30" s="4">
        <f>SUMIFS( E4:E451, A4:A451,"2015", C4:C451,"Nutrición y Ciencias de los Alimentos")</f>
        <v>13</v>
      </c>
      <c r="AZ30" s="4">
        <f>SUMIFS( E4:E451, A4:A451,"2016", C4:C451,"Nutrición y Ciencias de los Alimentos")</f>
        <v>46</v>
      </c>
      <c r="BA30" s="4">
        <f>SUMIFS( E4:E451, A4:A451,"2017", C4:C451,"Nutrición y Ciencias de los Alimentos")</f>
        <v>45</v>
      </c>
      <c r="BB30" s="28">
        <f>SUMIFS( E4:E451, N4:N451,"2014", C4:C451,"Nutrición y Ciencias de los Alimentos")</f>
        <v>10</v>
      </c>
      <c r="BC30" s="4">
        <f>SUMIFS( E4:E451, N4:N451,"2015", C4:C451,"Nutrición y Ciencias de los Alimentos")</f>
        <v>8</v>
      </c>
      <c r="BD30" s="4">
        <f>SUMIFS( E4:E451, N4:N451,"2016", C4:C451,"Nutrición y Ciencias de los Alimentos")</f>
        <v>11</v>
      </c>
      <c r="BE30" s="4">
        <f>SUMIFS( E4:E451, N4:N451,"2017", C4:C451,"Nutrición y Ciencias de los Alimentos")</f>
        <v>49</v>
      </c>
      <c r="BF30" s="4">
        <f>SUMIFS( E4:E451, N4:N451,"2018", C4:C451,"Nutrición y Ciencias de los Alimentos")</f>
        <v>37</v>
      </c>
      <c r="BG30" s="22">
        <f>AVERAGEIFS( E4:E451, C4:C451,"Nutrición y Ciencias de los Alimentos")</f>
        <v>6.7647058823529411</v>
      </c>
      <c r="BH30" s="22">
        <f>AVERAGEIFS( E4:E451, A4:A451,"2013", C4:C451,"Nutrición y Ciencias de los Alimentos")</f>
        <v>10</v>
      </c>
      <c r="BI30" s="22">
        <f>AVERAGEIFS( E4:E451, A4:A451,"2014", C4:C451,"Nutrición y Ciencias de los Alimentos")</f>
        <v>1</v>
      </c>
      <c r="BJ30" s="22">
        <f>AVERAGEIFS( E4:E451, A4:A451,"2015", C4:C451,"Nutrición y Ciencias de los Alimentos")</f>
        <v>6.5</v>
      </c>
      <c r="BK30" s="22">
        <f>AVERAGEIFS( E4:E451, A4:A451,"2016", C4:C451,"Nutrición y Ciencias de los Alimentos")</f>
        <v>6.5714285714285712</v>
      </c>
      <c r="BL30" s="22">
        <f>AVERAGEIFS( E4:E451, A4:A451,"2017", C4:C451,"Nutrición y Ciencias de los Alimentos")</f>
        <v>7.5</v>
      </c>
      <c r="BM30" s="22">
        <f>AVERAGE(AT31:AT33)</f>
        <v>38.333333333333336</v>
      </c>
      <c r="BN30" s="22">
        <f>AVERAGE(AW31:AW33)</f>
        <v>3.3333333333333335</v>
      </c>
      <c r="BO30" s="22">
        <f>AVERAGE(AX31:AX33)</f>
        <v>0.33333333333333331</v>
      </c>
      <c r="BP30" s="22">
        <f>AVERAGE(AY31:AY33)</f>
        <v>4.333333333333333</v>
      </c>
      <c r="BQ30" s="22">
        <f>AVERAGE(AZ31:AZ33)</f>
        <v>15.333333333333334</v>
      </c>
      <c r="BR30" s="22">
        <f>AVERAGE(BA31:BA33)</f>
        <v>15</v>
      </c>
    </row>
    <row r="31" spans="1:70" ht="15" customHeight="1" x14ac:dyDescent="0.25">
      <c r="A31">
        <v>2015</v>
      </c>
      <c r="B31" t="s">
        <v>4</v>
      </c>
      <c r="C31" t="s">
        <v>5</v>
      </c>
      <c r="D31" t="s">
        <v>6</v>
      </c>
      <c r="E31">
        <v>14</v>
      </c>
      <c r="F31" t="s">
        <v>211</v>
      </c>
      <c r="G31" t="s">
        <v>233</v>
      </c>
      <c r="H31" t="s">
        <v>234</v>
      </c>
      <c r="I31" t="s">
        <v>234</v>
      </c>
      <c r="J31" t="s">
        <v>234</v>
      </c>
      <c r="K31" t="s">
        <v>233</v>
      </c>
      <c r="L31" t="s">
        <v>234</v>
      </c>
      <c r="M31" s="14">
        <v>42552</v>
      </c>
      <c r="N31" s="14" t="str">
        <f t="shared" si="0"/>
        <v>2016</v>
      </c>
      <c r="O31" s="55" t="s">
        <v>34</v>
      </c>
      <c r="P31" s="56"/>
      <c r="Q31" s="56"/>
      <c r="R31" s="56"/>
      <c r="S31" s="56"/>
      <c r="T31" s="57"/>
      <c r="U31" s="5">
        <f>COUNTIFS(   D4:D451,"Bioquímica nutricional")</f>
        <v>2</v>
      </c>
      <c r="V31" s="5">
        <f>COUNTIFS(   D4:D451,"Bioquímica nutricional",F4:F451,"Hombre")</f>
        <v>0</v>
      </c>
      <c r="W31" s="5">
        <f>COUNTIFS(   D4:D451,"Bioquímica nutricional",F4:F451,"Mujer")</f>
        <v>2</v>
      </c>
      <c r="X31" s="29">
        <f>COUNTIFS(   A4:A451,"2013", D4:D451,"Bioquímica nutricional")</f>
        <v>0</v>
      </c>
      <c r="Y31" s="5">
        <f>COUNTIFS(   A4:A451,"2014", D4:D451,"Bioquímica nutricional")</f>
        <v>0</v>
      </c>
      <c r="Z31" s="5">
        <f>COUNTIFS(   A4:A451,"2015", D4:D451,"Bioquímica nutricional")</f>
        <v>1</v>
      </c>
      <c r="AA31" s="5">
        <f>COUNTIFS(   A4:A451,"2016", D4:D451,"Bioquímica nutricional")</f>
        <v>1</v>
      </c>
      <c r="AB31" s="5">
        <f>COUNTIFS(   A4:A451,"2017", D4:D451,"Bioquímica nutricional")</f>
        <v>0</v>
      </c>
      <c r="AC31" s="29">
        <f>COUNTIFS(   N4:N451,"2014", D4:D451,"Bioquímica nutricional")</f>
        <v>0</v>
      </c>
      <c r="AD31" s="5">
        <f>COUNTIFS(   N4:N451,"2015", D4:D451,"Bioquímica nutricional")</f>
        <v>1</v>
      </c>
      <c r="AE31" s="5">
        <f>COUNTIFS(   N4:N451,"2016", D4:D451,"Bioquímica nutricional")</f>
        <v>0</v>
      </c>
      <c r="AF31" s="5">
        <f>COUNTIFS(   N4:N451,"2017", D4:D451,"Bioquímica nutricional")</f>
        <v>1</v>
      </c>
      <c r="AG31" s="5">
        <f>COUNTIFS(   N4:N451,"2018", D4:D451,"Bioquímica nutricional")</f>
        <v>0</v>
      </c>
      <c r="AH31" s="5">
        <f>COUNTIFS(   D4:D451,"Bioquímica nutricional",G4:G451,"Sí")</f>
        <v>0</v>
      </c>
      <c r="AI31" s="5">
        <f>COUNTIFS(   D4:D451,"Bioquímica nutricional",G4:G451,"No")</f>
        <v>2</v>
      </c>
      <c r="AJ31" s="5">
        <f>SUMIFS( E4:E451, D4:D451,"Bioquímica nutricional",G4:G451,"Sí")</f>
        <v>0</v>
      </c>
      <c r="AK31" s="5">
        <f>SUMIFS( E4:E451, D4:D451,"Bioquímica nutricional",G4:G451,"No")</f>
        <v>17</v>
      </c>
      <c r="AL31" s="5">
        <f>COUNTIFS(   D4:D451,"Bioquímica nutricional",H4:H451,"Sí")</f>
        <v>0</v>
      </c>
      <c r="AM31" s="5">
        <f>COUNTIFS(   D4:D451,"Bioquímica nutricional",I4:I451,"Sí")</f>
        <v>1</v>
      </c>
      <c r="AN31" s="5">
        <f>COUNTIFS(   D4:D451,"Bioquímica nutricional",I4:I451,"No")</f>
        <v>1</v>
      </c>
      <c r="AO31" s="5">
        <f>SUMIFS( E4:E451, D4:D451,"Bioquímica nutricional",I4:I451,"Sí")</f>
        <v>10</v>
      </c>
      <c r="AP31" s="5">
        <f>SUMIFS( E4:E451, D4:D451,"Bioquímica nutricional",I4:I451,"No")</f>
        <v>7</v>
      </c>
      <c r="AQ31" s="5">
        <f>COUNTIFS(   D4:D451,"Bioquímica nutricional",J4:J451,"Sí")</f>
        <v>2</v>
      </c>
      <c r="AR31" s="5">
        <f>COUNTIFS(   D4:D451,"Bioquímica nutricional",K4:K451,"Sí")</f>
        <v>0</v>
      </c>
      <c r="AS31" s="5">
        <f>COUNTIFS(   D4:D451,"Bioquímica nutricional",L4:L451,"Sí")</f>
        <v>2</v>
      </c>
      <c r="AT31" s="5">
        <f>SUMIFS( E4:E451, D4:D451,"Bioquímica nutricional")</f>
        <v>17</v>
      </c>
      <c r="AU31" s="5">
        <f>SUMIFS( E4:E451, F4:F451,"Hombre", D4:D451,"Bioquímica nutricional")</f>
        <v>0</v>
      </c>
      <c r="AV31" s="5">
        <f>SUMIFS( E4:E451, F4:F451,"Mujer", D4:D451,"Bioquímica nutricional")</f>
        <v>17</v>
      </c>
      <c r="AW31" s="29">
        <f>SUMIFS( E4:E451, A4:A451,"2013", D4:D451,"Bioquímica nutricional")</f>
        <v>0</v>
      </c>
      <c r="AX31" s="5">
        <f>SUMIFS( E4:E451, A4:A451,"2014", D4:D451,"Bioquímica nutricional")</f>
        <v>0</v>
      </c>
      <c r="AY31" s="5">
        <f>SUMIFS( E4:E451, A4:A451,"2015", D4:D451,"Bioquímica nutricional")</f>
        <v>7</v>
      </c>
      <c r="AZ31" s="5">
        <f>SUMIFS( E4:E451, A4:A451,"2016", D4:D451,"Bioquímica nutricional")</f>
        <v>10</v>
      </c>
      <c r="BA31" s="5">
        <f>SUMIFS( E4:E451, A4:A451,"2017", D4:D451,"Bioquímica nutricional")</f>
        <v>0</v>
      </c>
      <c r="BB31" s="29">
        <f>SUMIFS( E4:E451, N4:N451,"2014", D4:D451,"Bioquímica nutricional")</f>
        <v>0</v>
      </c>
      <c r="BC31" s="5">
        <f>SUMIFS( E4:E451, N4:N451,"2015", D4:D451,"Bioquímica nutricional")</f>
        <v>7</v>
      </c>
      <c r="BD31" s="5">
        <f>SUMIFS( E4:E451, N4:N451,"2016", D4:D451,"Bioquímica nutricional")</f>
        <v>0</v>
      </c>
      <c r="BE31" s="5">
        <f>SUMIFS( E4:E451, N4:N451,"2017", D4:D451,"Bioquímica nutricional")</f>
        <v>10</v>
      </c>
      <c r="BF31" s="5">
        <f>SUMIFS( E4:E451, N4:N451,"2018", D4:D451,"Bioquímica nutricional")</f>
        <v>0</v>
      </c>
      <c r="BG31" s="23">
        <f>AVERAGEIFS( E4:E451, D4:D451,"Bioquímica nutricional")</f>
        <v>8.5</v>
      </c>
      <c r="BH31" s="23">
        <v>0</v>
      </c>
      <c r="BI31" s="23">
        <v>0</v>
      </c>
      <c r="BJ31" s="23">
        <f>AVERAGEIFS( E4:E451, A4:A451,"2015", D4:D451,"Bioquímica nutricional")</f>
        <v>7</v>
      </c>
      <c r="BK31" s="23">
        <f>AVERAGEIFS( E4:E451, A4:A451,"2016", D4:D451,"Bioquímica nutricional")</f>
        <v>10</v>
      </c>
      <c r="BL31" s="23">
        <v>0</v>
      </c>
      <c r="BM31" s="23">
        <v>8.5</v>
      </c>
      <c r="BN31" s="23">
        <v>0</v>
      </c>
      <c r="BO31" s="23">
        <v>0</v>
      </c>
      <c r="BP31" s="23">
        <v>7</v>
      </c>
      <c r="BQ31" s="23">
        <v>10</v>
      </c>
      <c r="BR31" s="23">
        <v>0</v>
      </c>
    </row>
    <row r="32" spans="1:70" ht="15" customHeight="1" x14ac:dyDescent="0.25">
      <c r="A32">
        <v>2015</v>
      </c>
      <c r="B32" t="s">
        <v>4</v>
      </c>
      <c r="C32" t="s">
        <v>5</v>
      </c>
      <c r="D32" t="s">
        <v>9</v>
      </c>
      <c r="E32">
        <v>3</v>
      </c>
      <c r="F32" t="s">
        <v>215</v>
      </c>
      <c r="G32" t="s">
        <v>233</v>
      </c>
      <c r="H32" t="s">
        <v>233</v>
      </c>
      <c r="I32" t="s">
        <v>233</v>
      </c>
      <c r="J32" t="s">
        <v>234</v>
      </c>
      <c r="K32" t="s">
        <v>233</v>
      </c>
      <c r="L32" t="s">
        <v>234</v>
      </c>
      <c r="M32" s="14">
        <v>42552</v>
      </c>
      <c r="N32" s="14" t="str">
        <f t="shared" si="0"/>
        <v>2016</v>
      </c>
      <c r="O32" s="55" t="s">
        <v>33</v>
      </c>
      <c r="P32" s="56"/>
      <c r="Q32" s="56"/>
      <c r="R32" s="56"/>
      <c r="S32" s="56"/>
      <c r="T32" s="57"/>
      <c r="U32" s="5">
        <f>COUNTIFS(   D4:D451,"Estudios nutricionales. Diseño, calidad y seguridad de los alimentos")</f>
        <v>5</v>
      </c>
      <c r="V32" s="5">
        <f>COUNTIFS(   D4:D451,"Estudios nutricionales. Diseño, calidad y seguridad de los alimentos",F4:F451,"Hombre")</f>
        <v>1</v>
      </c>
      <c r="W32" s="5">
        <f>COUNTIFS(   D4:D451,"Estudios nutricionales. Diseño, calidad y seguridad de los alimentos",F4:F451,"Mujer")</f>
        <v>4</v>
      </c>
      <c r="X32" s="29">
        <f>COUNTIFS(   A4:A451,"2013", D4:D451,"Estudios nutricionales. Diseño, calidad y seguridad de los alimentos")</f>
        <v>0</v>
      </c>
      <c r="Y32" s="5">
        <f>COUNTIFS(   A4:A451,"2014", D4:D451,"Estudios nutricionales. Diseño, calidad y seguridad de los alimentos")</f>
        <v>1</v>
      </c>
      <c r="Z32" s="5">
        <f>COUNTIFS(   A4:A451,"2015", D4:D451,"Estudios nutricionales. Diseño, calidad y seguridad de los alimentos")</f>
        <v>0</v>
      </c>
      <c r="AA32" s="5">
        <f>COUNTIFS(   A4:A451,"2016", D4:D451,"Estudios nutricionales. Diseño, calidad y seguridad de los alimentos")</f>
        <v>3</v>
      </c>
      <c r="AB32" s="5">
        <f>COUNTIFS(   A4:A451,"2017", D4:D451,"Estudios nutricionales. Diseño, calidad y seguridad de los alimentos")</f>
        <v>1</v>
      </c>
      <c r="AC32" s="29">
        <f>COUNTIFS(   N4:N451,"2014", D4:D451,"Estudios nutricionales. Diseño, calidad y seguridad de los alimentos")</f>
        <v>0</v>
      </c>
      <c r="AD32" s="5">
        <f>COUNTIFS(   N4:N451,"2015", D4:D451,"Estudios nutricionales. Diseño, calidad y seguridad de los alimentos")</f>
        <v>1</v>
      </c>
      <c r="AE32" s="5">
        <f>COUNTIFS(   N4:N451,"2016", D4:D451,"Estudios nutricionales. Diseño, calidad y seguridad de los alimentos")</f>
        <v>1</v>
      </c>
      <c r="AF32" s="5">
        <f>COUNTIFS(   N4:N451,"2017", D4:D451,"Estudios nutricionales. Diseño, calidad y seguridad de los alimentos")</f>
        <v>3</v>
      </c>
      <c r="AG32" s="5">
        <f>COUNTIFS(   N4:N451,"2018", D4:D451,"Estudios nutricionales. Diseño, calidad y seguridad de los alimentos")</f>
        <v>0</v>
      </c>
      <c r="AH32" s="5">
        <f>COUNTIFS(   D4:D451,"Estudios nutricionales. Diseño, calidad y seguridad de los alimentos",G4:G451,"Sí")</f>
        <v>0</v>
      </c>
      <c r="AI32" s="5">
        <f>COUNTIFS(   D4:D451,"Estudios nutricionales. Diseño, calidad y seguridad de los alimentos",G4:G451,"No")</f>
        <v>5</v>
      </c>
      <c r="AJ32" s="5">
        <f>SUMIFS( E4:E451, D4:D451,"Estudios nutricionales. Diseño, calidad y seguridad de los alimentos",G4:G451,"Sí")</f>
        <v>0</v>
      </c>
      <c r="AK32" s="5">
        <f>SUMIFS( E4:E451, D4:D451,"Estudios nutricionales. Diseño, calidad y seguridad de los alimentos",G4:G451,"No")</f>
        <v>32</v>
      </c>
      <c r="AL32" s="5">
        <f>COUNTIFS(   D4:D451,"Estudios nutricionales. Diseño, calidad y seguridad de los alimentos",H4:H451,"Sí")</f>
        <v>0</v>
      </c>
      <c r="AM32" s="5">
        <f>COUNTIFS(   D4:D451,"Estudios nutricionales. Diseño, calidad y seguridad de los alimentos",I4:I451,"Sí")</f>
        <v>1</v>
      </c>
      <c r="AN32" s="5">
        <f>COUNTIFS(   D4:D451,"Estudios nutricionales. Diseño, calidad y seguridad de los alimentos",I4:I451,"No")</f>
        <v>4</v>
      </c>
      <c r="AO32" s="5">
        <f>SUMIFS( E4:E451, D4:D451,"Estudios nutricionales. Diseño, calidad y seguridad de los alimentos",I4:I451,"Sí")</f>
        <v>8</v>
      </c>
      <c r="AP32" s="5">
        <f>SUMIFS( E4:E451, D4:D451,"Estudios nutricionales. Diseño, calidad y seguridad de los alimentos",I4:I451,"No")</f>
        <v>24</v>
      </c>
      <c r="AQ32" s="5">
        <f>COUNTIFS(   D4:D451,"Estudios nutricionales. Diseño, calidad y seguridad de los alimentos",J4:J451,"Sí")</f>
        <v>5</v>
      </c>
      <c r="AR32" s="5">
        <f>COUNTIFS(   D4:D451,"Estudios nutricionales. Diseño, calidad y seguridad de los alimentos",K4:K451,"Sí")</f>
        <v>2</v>
      </c>
      <c r="AS32" s="5">
        <f>COUNTIFS(   D4:D451,"Estudios nutricionales. Diseño, calidad y seguridad de los alimentos",L4:L451,"Sí")</f>
        <v>5</v>
      </c>
      <c r="AT32" s="5">
        <f>SUMIFS( E4:E451, D4:D451,"Estudios nutricionales. Diseño, calidad y seguridad de los alimentos")</f>
        <v>32</v>
      </c>
      <c r="AU32" s="5">
        <f>SUMIFS( E4:E451, F4:F451,"Hombre", D4:D451,"Estudios nutricionales. Diseño, calidad y seguridad de los alimentos")</f>
        <v>9</v>
      </c>
      <c r="AV32" s="5">
        <f>SUMIFS( E4:E451, F4:F451,"Mujer", D4:D451,"Estudios nutricionales. Diseño, calidad y seguridad de los alimentos")</f>
        <v>23</v>
      </c>
      <c r="AW32" s="29">
        <f>SUMIFS( E4:E451, A4:A451,"2013", D4:D451,"Estudios nutricionales. Diseño, calidad y seguridad de los alimentos")</f>
        <v>0</v>
      </c>
      <c r="AX32" s="5">
        <f>SUMIFS( E4:E451, A4:A451,"2014", D4:D451,"Estudios nutricionales. Diseño, calidad y seguridad de los alimentos")</f>
        <v>1</v>
      </c>
      <c r="AY32" s="5">
        <f>SUMIFS( E4:E451, A4:A451,"2015", D4:D451,"Estudios nutricionales. Diseño, calidad y seguridad de los alimentos")</f>
        <v>0</v>
      </c>
      <c r="AZ32" s="5">
        <f>SUMIFS( E4:E451, A4:A451,"2016", D4:D451,"Estudios nutricionales. Diseño, calidad y seguridad de los alimentos")</f>
        <v>23</v>
      </c>
      <c r="BA32" s="5">
        <f>SUMIFS( E4:E451, A4:A451,"2017", D4:D451,"Estudios nutricionales. Diseño, calidad y seguridad de los alimentos")</f>
        <v>8</v>
      </c>
      <c r="BB32" s="29">
        <f>SUMIFS( E4:E451, N4:N451,"2014", D4:D451,"Estudios nutricionales. Diseño, calidad y seguridad de los alimentos")</f>
        <v>0</v>
      </c>
      <c r="BC32" s="5">
        <f>SUMIFS( E4:E451, N4:N451,"2015", D4:D451,"Estudios nutricionales. Diseño, calidad y seguridad de los alimentos")</f>
        <v>1</v>
      </c>
      <c r="BD32" s="5">
        <f>SUMIFS( E4:E451, N4:N451,"2016", D4:D451,"Estudios nutricionales. Diseño, calidad y seguridad de los alimentos")</f>
        <v>3</v>
      </c>
      <c r="BE32" s="5">
        <f>SUMIFS( E4:E451, N4:N451,"2017", D4:D451,"Estudios nutricionales. Diseño, calidad y seguridad de los alimentos")</f>
        <v>28</v>
      </c>
      <c r="BF32" s="5">
        <f>SUMIFS( E4:E451, N4:N451,"2018", D4:D451,"Estudios nutricionales. Diseño, calidad y seguridad de los alimentos")</f>
        <v>0</v>
      </c>
      <c r="BG32" s="23">
        <f>AVERAGEIFS( E4:E451, D4:D451,"Estudios nutricionales. Diseño, calidad y seguridad de los alimentos")</f>
        <v>6.4</v>
      </c>
      <c r="BH32" s="23">
        <v>0</v>
      </c>
      <c r="BI32" s="23">
        <f>AVERAGEIFS( E4:E451, A4:A451,"2014", D4:D451,"Estudios nutricionales. Diseño, calidad y seguridad de los alimentos")</f>
        <v>1</v>
      </c>
      <c r="BJ32" s="23">
        <v>0</v>
      </c>
      <c r="BK32" s="23">
        <f>AVERAGEIFS( E4:E451, A4:A451,"2016", D4:D451,"Estudios nutricionales. Diseño, calidad y seguridad de los alimentos")</f>
        <v>7.666666666666667</v>
      </c>
      <c r="BL32" s="23">
        <f>AVERAGEIFS( E4:E451, A4:A451,"2017", D4:D451,"Estudios nutricionales. Diseño, calidad y seguridad de los alimentos")</f>
        <v>8</v>
      </c>
      <c r="BM32" s="23">
        <v>6.4</v>
      </c>
      <c r="BN32" s="23">
        <v>0</v>
      </c>
      <c r="BO32" s="23">
        <v>1</v>
      </c>
      <c r="BP32" s="23">
        <v>0</v>
      </c>
      <c r="BQ32" s="23">
        <v>7.666666666666667</v>
      </c>
      <c r="BR32" s="23">
        <v>8</v>
      </c>
    </row>
    <row r="33" spans="1:70" ht="15" customHeight="1" x14ac:dyDescent="0.25">
      <c r="A33">
        <v>2015</v>
      </c>
      <c r="B33" t="s">
        <v>4</v>
      </c>
      <c r="C33" t="s">
        <v>5</v>
      </c>
      <c r="D33" t="s">
        <v>10</v>
      </c>
      <c r="E33">
        <v>10</v>
      </c>
      <c r="F33" t="s">
        <v>211</v>
      </c>
      <c r="G33" t="s">
        <v>233</v>
      </c>
      <c r="H33" t="s">
        <v>233</v>
      </c>
      <c r="I33" t="s">
        <v>233</v>
      </c>
      <c r="J33" t="s">
        <v>234</v>
      </c>
      <c r="K33" t="s">
        <v>233</v>
      </c>
      <c r="L33" t="s">
        <v>234</v>
      </c>
      <c r="M33" s="14">
        <v>42545</v>
      </c>
      <c r="N33" s="14" t="str">
        <f t="shared" si="0"/>
        <v>2016</v>
      </c>
      <c r="O33" s="55" t="s">
        <v>32</v>
      </c>
      <c r="P33" s="56"/>
      <c r="Q33" s="56"/>
      <c r="R33" s="56"/>
      <c r="S33" s="56"/>
      <c r="T33" s="57"/>
      <c r="U33" s="5">
        <f>COUNTIFS(   D4:D451,"Nutrición humana y experimental en situaciones fisiológicas y patológicas. Valoración nutricional")</f>
        <v>10</v>
      </c>
      <c r="V33" s="5">
        <f>COUNTIFS(   D4:D451,"Nutrición humana y experimental en situaciones fisiológicas y patológicas. Valoración nutricional",F4:F451,"Hombre")</f>
        <v>8</v>
      </c>
      <c r="W33" s="5">
        <f>COUNTIFS(   D4:D451,"Nutrición humana y experimental en situaciones fisiológicas y patológicas. Valoración nutricional",F4:F451,"Mujer")</f>
        <v>2</v>
      </c>
      <c r="X33" s="29">
        <f>COUNTIFS(   A4:A451,"2013", D4:D451,"Nutrición humana y experimental en situaciones fisiológicas y patológicas. Valoración nutricional")</f>
        <v>1</v>
      </c>
      <c r="Y33" s="5">
        <f>COUNTIFS(   A4:A451,"2014", D4:D451,"Nutrición humana y experimental en situaciones fisiológicas y patológicas. Valoración nutricional")</f>
        <v>0</v>
      </c>
      <c r="Z33" s="5">
        <f>COUNTIFS(   A4:A451,"2015", D4:D451,"Nutrición humana y experimental en situaciones fisiológicas y patológicas. Valoración nutricional")</f>
        <v>1</v>
      </c>
      <c r="AA33" s="5">
        <f>COUNTIFS(   A4:A451,"2016", D4:D451,"Nutrición humana y experimental en situaciones fisiológicas y patológicas. Valoración nutricional")</f>
        <v>3</v>
      </c>
      <c r="AB33" s="5">
        <f>COUNTIFS(   A4:A451,"2017", D4:D451,"Nutrición humana y experimental en situaciones fisiológicas y patológicas. Valoración nutricional")</f>
        <v>5</v>
      </c>
      <c r="AC33" s="29">
        <f>COUNTIFS(   N4:N451,"2014", D4:D451,"Nutrición humana y experimental en situaciones fisiológicas y patológicas. Valoración nutricional")</f>
        <v>1</v>
      </c>
      <c r="AD33" s="5">
        <f>COUNTIFS(   N4:N451,"2015", D4:D451,"Nutrición humana y experimental en situaciones fisiológicas y patológicas. Valoración nutricional")</f>
        <v>0</v>
      </c>
      <c r="AE33" s="5">
        <f>COUNTIFS(   N4:N451,"2016", D4:D451,"Nutrición humana y experimental en situaciones fisiológicas y patológicas. Valoración nutricional")</f>
        <v>2</v>
      </c>
      <c r="AF33" s="5">
        <f>COUNTIFS(   N4:N451,"2017", D4:D451,"Nutrición humana y experimental en situaciones fisiológicas y patológicas. Valoración nutricional")</f>
        <v>2</v>
      </c>
      <c r="AG33" s="5">
        <f>COUNTIFS(   N4:N451,"2018", D4:D451,"Nutrición humana y experimental en situaciones fisiológicas y patológicas. Valoración nutricional")</f>
        <v>5</v>
      </c>
      <c r="AH33" s="5">
        <f>COUNTIFS(   D4:D451,"Nutrición humana y experimental en situaciones fisiológicas y patológicas. Valoración nutricional",G4:G451,"Sí")</f>
        <v>0</v>
      </c>
      <c r="AI33" s="5">
        <f>COUNTIFS(   D4:D451,"Nutrición humana y experimental en situaciones fisiológicas y patológicas. Valoración nutricional",G4:G451,"No")</f>
        <v>10</v>
      </c>
      <c r="AJ33" s="5">
        <f>SUMIFS( E4:E451, D4:D451,"Nutrición humana y experimental en situaciones fisiológicas y patológicas. Valoración nutricional",G4:G451,"Sí")</f>
        <v>0</v>
      </c>
      <c r="AK33" s="5">
        <f>SUMIFS( E4:E451, D4:D451,"Nutrición humana y experimental en situaciones fisiológicas y patológicas. Valoración nutricional",G4:G451,"No")</f>
        <v>66</v>
      </c>
      <c r="AL33" s="5">
        <f>COUNTIFS(   D4:D451,"Nutrición humana y experimental en situaciones fisiológicas y patológicas. Valoración nutricional",H4:H451,"Sí")</f>
        <v>0</v>
      </c>
      <c r="AM33" s="5">
        <f>COUNTIFS(   D4:D451,"Nutrición humana y experimental en situaciones fisiológicas y patológicas. Valoración nutricional",I4:I451,"Sí")</f>
        <v>4</v>
      </c>
      <c r="AN33" s="5">
        <f>COUNTIFS(   D4:D451,"Nutrición humana y experimental en situaciones fisiológicas y patológicas. Valoración nutricional",I4:I451,"No")</f>
        <v>6</v>
      </c>
      <c r="AO33" s="5">
        <f>SUMIFS( E4:E451, D4:D451,"Nutrición humana y experimental en situaciones fisiológicas y patológicas. Valoración nutricional",I4:I451,"Sí")</f>
        <v>33</v>
      </c>
      <c r="AP33" s="5">
        <f>SUMIFS( E4:E451, D4:D451,"Nutrición humana y experimental en situaciones fisiológicas y patológicas. Valoración nutricional",I4:I451,"No")</f>
        <v>33</v>
      </c>
      <c r="AQ33" s="5">
        <f>COUNTIFS(   D4:D451,"Nutrición humana y experimental en situaciones fisiológicas y patológicas. Valoración nutricional",J4:J451,"Sí")</f>
        <v>7</v>
      </c>
      <c r="AR33" s="5">
        <f>COUNTIFS(   D4:D451,"Nutrición humana y experimental en situaciones fisiológicas y patológicas. Valoración nutricional",K4:K451,"Sí")</f>
        <v>3</v>
      </c>
      <c r="AS33" s="5">
        <f>COUNTIFS(   D4:D451,"Nutrición humana y experimental en situaciones fisiológicas y patológicas. Valoración nutricional",L4:L451,"Sí")</f>
        <v>8</v>
      </c>
      <c r="AT33" s="5">
        <f>SUMIFS( E4:E451, D4:D451,"Nutrición humana y experimental en situaciones fisiológicas y patológicas. Valoración nutricional")</f>
        <v>66</v>
      </c>
      <c r="AU33" s="5">
        <f>SUMIFS( E4:E451, F4:F451,"Hombre", D4:D451,"Nutrición humana y experimental en situaciones fisiológicas y patológicas. Valoración nutricional")</f>
        <v>49</v>
      </c>
      <c r="AV33" s="5">
        <f>SUMIFS( E4:E451, F4:F451,"Mujer", D4:D451,"Nutrición humana y experimental en situaciones fisiológicas y patológicas. Valoración nutricional")</f>
        <v>17</v>
      </c>
      <c r="AW33" s="29">
        <f>SUMIFS( E4:E451, A4:A451,"2013", D4:D451,"Nutrición humana y experimental en situaciones fisiológicas y patológicas. Valoración nutricional")</f>
        <v>10</v>
      </c>
      <c r="AX33" s="5">
        <f>SUMIFS( E4:E451, A4:A451,"2014", D4:D451,"Nutrición humana y experimental en situaciones fisiológicas y patológicas. Valoración nutricional")</f>
        <v>0</v>
      </c>
      <c r="AY33" s="5">
        <f>SUMIFS( E4:E451, A4:A451,"2015", D4:D451,"Nutrición humana y experimental en situaciones fisiológicas y patológicas. Valoración nutricional")</f>
        <v>6</v>
      </c>
      <c r="AZ33" s="5">
        <f>SUMIFS( E4:E451, A4:A451,"2016", D4:D451,"Nutrición humana y experimental en situaciones fisiológicas y patológicas. Valoración nutricional")</f>
        <v>13</v>
      </c>
      <c r="BA33" s="5">
        <f>SUMIFS( E4:E451, A4:A451,"2017", D4:D451,"Nutrición humana y experimental en situaciones fisiológicas y patológicas. Valoración nutricional")</f>
        <v>37</v>
      </c>
      <c r="BB33" s="29">
        <f>SUMIFS( E4:E451, N4:N451,"2014", D4:D451,"Nutrición humana y experimental en situaciones fisiológicas y patológicas. Valoración nutricional")</f>
        <v>10</v>
      </c>
      <c r="BC33" s="5">
        <f>SUMIFS( E4:E451, N4:N451,"2015", D4:D451,"Nutrición humana y experimental en situaciones fisiológicas y patológicas. Valoración nutricional")</f>
        <v>0</v>
      </c>
      <c r="BD33" s="5">
        <f>SUMIFS( E4:E451, N4:N451,"2016", D4:D451,"Nutrición humana y experimental en situaciones fisiológicas y patológicas. Valoración nutricional")</f>
        <v>8</v>
      </c>
      <c r="BE33" s="5">
        <f>SUMIFS( E4:E451, N4:N451,"2017", D4:D451,"Nutrición humana y experimental en situaciones fisiológicas y patológicas. Valoración nutricional")</f>
        <v>11</v>
      </c>
      <c r="BF33" s="5">
        <f>SUMIFS( E4:E451, N4:N451,"2018", D4:D451,"Nutrición humana y experimental en situaciones fisiológicas y patológicas. Valoración nutricional")</f>
        <v>37</v>
      </c>
      <c r="BG33" s="23">
        <f>AVERAGEIFS( E4:E451, D4:D451,"Nutrición humana y experimental en situaciones fisiológicas y patológicas. Valoración nutricional")</f>
        <v>6.6</v>
      </c>
      <c r="BH33" s="23">
        <f>AVERAGEIFS( E4:E451, A4:A451,"2013", D4:D451,"Nutrición humana y experimental en situaciones fisiológicas y patológicas. Valoración nutricional")</f>
        <v>10</v>
      </c>
      <c r="BI33" s="23">
        <v>0</v>
      </c>
      <c r="BJ33" s="23">
        <f>AVERAGEIFS( E4:E451, A4:A451,"2015", D4:D451,"Nutrición humana y experimental en situaciones fisiológicas y patológicas. Valoración nutricional")</f>
        <v>6</v>
      </c>
      <c r="BK33" s="23">
        <f>AVERAGEIFS( E4:E451, A4:A451,"2016", D4:D451,"Nutrición humana y experimental en situaciones fisiológicas y patológicas. Valoración nutricional")</f>
        <v>4.333333333333333</v>
      </c>
      <c r="BL33" s="23">
        <f>AVERAGEIFS( E4:E451, A4:A451,"2017", D4:D451,"Nutrición humana y experimental en situaciones fisiológicas y patológicas. Valoración nutricional")</f>
        <v>7.4</v>
      </c>
      <c r="BM33" s="23">
        <v>6.6</v>
      </c>
      <c r="BN33" s="23">
        <v>10</v>
      </c>
      <c r="BO33" s="23">
        <v>0</v>
      </c>
      <c r="BP33" s="23">
        <v>6</v>
      </c>
      <c r="BQ33" s="23">
        <v>4.333333333333333</v>
      </c>
      <c r="BR33" s="23">
        <v>7.4</v>
      </c>
    </row>
    <row r="34" spans="1:70" ht="15" customHeight="1" x14ac:dyDescent="0.25">
      <c r="A34">
        <v>2015</v>
      </c>
      <c r="B34" t="s">
        <v>4</v>
      </c>
      <c r="C34" t="s">
        <v>5</v>
      </c>
      <c r="D34" t="s">
        <v>7</v>
      </c>
      <c r="E34">
        <v>34</v>
      </c>
      <c r="F34" t="s">
        <v>211</v>
      </c>
      <c r="G34" t="s">
        <v>233</v>
      </c>
      <c r="H34" t="s">
        <v>234</v>
      </c>
      <c r="I34" t="s">
        <v>234</v>
      </c>
      <c r="J34" t="s">
        <v>234</v>
      </c>
      <c r="K34" t="s">
        <v>233</v>
      </c>
      <c r="L34" t="s">
        <v>234</v>
      </c>
      <c r="M34" s="14">
        <v>42356</v>
      </c>
      <c r="N34" s="14" t="str">
        <f t="shared" si="0"/>
        <v>2015</v>
      </c>
      <c r="O34" s="58" t="s">
        <v>48</v>
      </c>
      <c r="P34" s="59"/>
      <c r="Q34" s="59"/>
      <c r="R34" s="59"/>
      <c r="S34" s="59"/>
      <c r="T34" s="60"/>
      <c r="U34" s="4">
        <f>COUNTIFS(   C4:C451,"Psicología")</f>
        <v>21</v>
      </c>
      <c r="V34" s="4">
        <f>COUNTIFS(   C4:C451,"Psicología",F4:F451,"Hombre")</f>
        <v>10</v>
      </c>
      <c r="W34" s="4">
        <f>COUNTIFS(   C4:C451,"Psicología",F4:F451,"Mujer")</f>
        <v>11</v>
      </c>
      <c r="X34" s="28">
        <f>COUNTIFS(   A4:A451,"2013", C4:C451,"Psicología")</f>
        <v>0</v>
      </c>
      <c r="Y34" s="4">
        <f>COUNTIFS(   A4:A451,"2014", C4:C451,"Psicología")</f>
        <v>0</v>
      </c>
      <c r="Z34" s="4">
        <f>COUNTIFS(   A4:A451,"2015", C4:C451,"Psicología")</f>
        <v>3</v>
      </c>
      <c r="AA34" s="4">
        <f>COUNTIFS(   A4:A451,"2016", C4:C451,"Psicología")</f>
        <v>7</v>
      </c>
      <c r="AB34" s="4">
        <f>COUNTIFS(   A4:A451,"2017", C4:C451,"Psicología")</f>
        <v>11</v>
      </c>
      <c r="AC34" s="28">
        <f>COUNTIFS(   N4:N451,"2014", C4:C451,"Psicología")</f>
        <v>0</v>
      </c>
      <c r="AD34" s="4">
        <f>COUNTIFS(   N4:N451,"2015", C4:C451,"Psicología")</f>
        <v>0</v>
      </c>
      <c r="AE34" s="4">
        <f>COUNTIFS(   N4:N451,"2016", C4:C451,"Psicología")</f>
        <v>3</v>
      </c>
      <c r="AF34" s="4">
        <f>COUNTIFS(   N4:N451,"2017", C4:C451,"Psicología")</f>
        <v>11</v>
      </c>
      <c r="AG34" s="4">
        <f>COUNTIFS(   N4:N451,"2018", C4:C451,"Psicología")</f>
        <v>7</v>
      </c>
      <c r="AH34" s="4">
        <f>COUNTIFS(   C4:C451,"Psicología",G4:G451,"Sí")</f>
        <v>1</v>
      </c>
      <c r="AI34" s="4">
        <f>COUNTIFS(   C4:C451,"Psicología",G4:G451,"No")</f>
        <v>20</v>
      </c>
      <c r="AJ34" s="4">
        <f>SUMIFS( E4:E451, C4:C451,"Psicología",G4:G451,"Sí")</f>
        <v>7</v>
      </c>
      <c r="AK34" s="4">
        <f>SUMIFS( E4:E451, C4:C451,"Psicología",G4:G451,"No")</f>
        <v>116</v>
      </c>
      <c r="AL34" s="4">
        <f>COUNTIFS(   C4:C451,"Psicología",H4:H451,"Sí")</f>
        <v>8</v>
      </c>
      <c r="AM34" s="4">
        <f>COUNTIFS(   C4:C451,"Psicología",I4:I451,"Sí")</f>
        <v>14</v>
      </c>
      <c r="AN34" s="4">
        <f>COUNTIFS(   C4:C451,"Psicología",I4:I451,"No")</f>
        <v>7</v>
      </c>
      <c r="AO34" s="4">
        <f>SUMIFS( E4:E451, C4:C451,"Psicología",I4:I451,"Sí")</f>
        <v>75</v>
      </c>
      <c r="AP34" s="4">
        <f>SUMIFS( E4:E451, C4:C451,"Psicología",I4:I451,"No")</f>
        <v>48</v>
      </c>
      <c r="AQ34" s="4">
        <f>COUNTIFS(   C4:C451,"Psicología",J4:J451,"Sí")</f>
        <v>18</v>
      </c>
      <c r="AR34" s="4">
        <f>COUNTIFS(   C4:C451,"Psicología",K4:K451,"Sí")</f>
        <v>10</v>
      </c>
      <c r="AS34" s="4">
        <f>COUNTIFS(   C4:C451,"Psicología",L4:L451,"Sí")</f>
        <v>19</v>
      </c>
      <c r="AT34" s="4">
        <f>SUMIFS( E4:E451, C4:C451,"Psicología")</f>
        <v>123</v>
      </c>
      <c r="AU34" s="4">
        <f>SUMIFS( E4:E451, F4:F451,"Hombre", C4:C451,"Psicología")</f>
        <v>80</v>
      </c>
      <c r="AV34" s="4">
        <f>SUMIFS( E4:E451, F4:F451,"Mujer", C4:C451,"Psicología")</f>
        <v>43</v>
      </c>
      <c r="AW34" s="28">
        <f>SUMIFS( E4:E451, A4:A451,"2013", C4:C451,"Psicología")</f>
        <v>0</v>
      </c>
      <c r="AX34" s="4">
        <f>SUMIFS( E4:E451, A4:A451,"2014", C4:C451,"Psicología")</f>
        <v>0</v>
      </c>
      <c r="AY34" s="4">
        <f>SUMIFS( E4:E451, A4:A451,"2015", C4:C451,"Psicología")</f>
        <v>32</v>
      </c>
      <c r="AZ34" s="4">
        <f>SUMIFS( E4:E451, A4:A451,"2016", C4:C451,"Psicología")</f>
        <v>46</v>
      </c>
      <c r="BA34" s="4">
        <f>SUMIFS( E4:E451, A4:A451,"2017", C4:C451,"Psicología")</f>
        <v>45</v>
      </c>
      <c r="BB34" s="28">
        <f>SUMIFS( E4:E451, N4:N451,"2014", C4:C451,"Psicología")</f>
        <v>0</v>
      </c>
      <c r="BC34" s="4">
        <f>SUMIFS( E4:E451, N4:N451,"2015", C4:C451,"Psicología")</f>
        <v>0</v>
      </c>
      <c r="BD34" s="4">
        <f>SUMIFS( E4:E451, N4:N451,"2016", C4:C451,"Psicología")</f>
        <v>32</v>
      </c>
      <c r="BE34" s="4">
        <f>SUMIFS( E4:E451, N4:N451,"2017", C4:C451,"Psicología")</f>
        <v>59</v>
      </c>
      <c r="BF34" s="4">
        <f>SUMIFS( E4:E451, N4:N451,"2018", C4:C451,"Psicología")</f>
        <v>32</v>
      </c>
      <c r="BG34" s="22">
        <f>AVERAGEIFS( E4:E451, C4:C451,"Psicología")</f>
        <v>5.8571428571428568</v>
      </c>
      <c r="BH34" s="22">
        <v>0</v>
      </c>
      <c r="BI34" s="22">
        <v>0</v>
      </c>
      <c r="BJ34" s="22">
        <f>AVERAGEIFS( E4:E451, A4:A451,"2015", C4:C451,"Psicología")</f>
        <v>10.666666666666666</v>
      </c>
      <c r="BK34" s="22">
        <f>AVERAGEIFS( E4:E451, A4:A451,"2016", C4:C451,"Psicología")</f>
        <v>6.5714285714285712</v>
      </c>
      <c r="BL34" s="22">
        <f>AVERAGEIFS( E4:E451, A4:A451,"2017", C4:C451,"Psicología")</f>
        <v>4.0909090909090908</v>
      </c>
      <c r="BM34" s="22">
        <f>AVERAGE(AT35:AT39)</f>
        <v>24.6</v>
      </c>
      <c r="BN34" s="22">
        <f>AVERAGE(AW35:AW39)</f>
        <v>0</v>
      </c>
      <c r="BO34" s="22">
        <f>AVERAGE(AX35:AX39)</f>
        <v>0</v>
      </c>
      <c r="BP34" s="22">
        <f>AVERAGE(AY35:AY39)</f>
        <v>6.4</v>
      </c>
      <c r="BQ34" s="22">
        <f>AVERAGE(AZ35:AZ39)</f>
        <v>9.1999999999999993</v>
      </c>
      <c r="BR34" s="22">
        <f>AVERAGE(BA35:BA39)</f>
        <v>9</v>
      </c>
    </row>
    <row r="35" spans="1:70" ht="15" customHeight="1" x14ac:dyDescent="0.25">
      <c r="A35">
        <v>2014</v>
      </c>
      <c r="B35" t="s">
        <v>4</v>
      </c>
      <c r="C35" t="s">
        <v>5</v>
      </c>
      <c r="D35" t="s">
        <v>7</v>
      </c>
      <c r="E35">
        <v>1</v>
      </c>
      <c r="F35" t="s">
        <v>211</v>
      </c>
      <c r="G35" t="s">
        <v>233</v>
      </c>
      <c r="H35" t="s">
        <v>233</v>
      </c>
      <c r="I35" t="s">
        <v>233</v>
      </c>
      <c r="J35" t="s">
        <v>234</v>
      </c>
      <c r="K35" t="s">
        <v>233</v>
      </c>
      <c r="L35" t="s">
        <v>234</v>
      </c>
      <c r="M35" s="14">
        <v>41971</v>
      </c>
      <c r="N35" s="14" t="str">
        <f t="shared" si="0"/>
        <v>2014</v>
      </c>
      <c r="O35" s="55" t="s">
        <v>35</v>
      </c>
      <c r="P35" s="56"/>
      <c r="Q35" s="56"/>
      <c r="R35" s="56"/>
      <c r="S35" s="56"/>
      <c r="T35" s="57"/>
      <c r="U35" s="5">
        <f>COUNTIFS(  D4:D451,"Neurociencia del Comportamiento, Cognitiva y Afectiva")</f>
        <v>8</v>
      </c>
      <c r="V35" s="5">
        <f>COUNTIFS(  D4:D451,"Neurociencia del Comportamiento, Cognitiva y Afectiva",F4:F451,"Hombre")</f>
        <v>5</v>
      </c>
      <c r="W35" s="5">
        <f>COUNTIFS(  D4:D451,"Neurociencia del Comportamiento, Cognitiva y Afectiva",F4:F451,"Mujer")</f>
        <v>3</v>
      </c>
      <c r="X35" s="29">
        <f>COUNTIFS(   A4:A451,"2013", D4:D451,"Neurociencia del Comportamiento, Cognitiva y Afectiva")</f>
        <v>0</v>
      </c>
      <c r="Y35" s="5">
        <f>COUNTIFS(   A4:A451,"2014", D4:D451,"Neurociencia del Comportamiento, Cognitiva y Afectiva")</f>
        <v>0</v>
      </c>
      <c r="Z35" s="5">
        <f>COUNTIFS(   A4:A451,"2015", D4:D451,"Neurociencia del Comportamiento, Cognitiva y Afectiva")</f>
        <v>2</v>
      </c>
      <c r="AA35" s="5">
        <f>COUNTIFS(   A4:A451,"2016", D4:D451,"Neurociencia del Comportamiento, Cognitiva y Afectiva")</f>
        <v>1</v>
      </c>
      <c r="AB35" s="5">
        <f>COUNTIFS(   A4:A451,"2017", D4:D451,"Neurociencia del Comportamiento, Cognitiva y Afectiva")</f>
        <v>5</v>
      </c>
      <c r="AC35" s="29">
        <f>COUNTIFS(   N4:N451,"2014", D4:D451,"Neurociencia del Comportamiento, Cognitiva y Afectiva")</f>
        <v>0</v>
      </c>
      <c r="AD35" s="5">
        <f>COUNTIFS(   N4:N451,"2015", D4:D451,"Neurociencia del Comportamiento, Cognitiva y Afectiva")</f>
        <v>0</v>
      </c>
      <c r="AE35" s="5">
        <f>COUNTIFS(   N4:N451,"2016", D4:D451,"Neurociencia del Comportamiento, Cognitiva y Afectiva")</f>
        <v>2</v>
      </c>
      <c r="AF35" s="5">
        <f>COUNTIFS(   N4:N451,"2017", D4:D451,"Neurociencia del Comportamiento, Cognitiva y Afectiva")</f>
        <v>3</v>
      </c>
      <c r="AG35" s="5">
        <f>COUNTIFS(   N4:N451,"2018", D4:D451,"Neurociencia del Comportamiento, Cognitiva y Afectiva")</f>
        <v>3</v>
      </c>
      <c r="AH35" s="5">
        <f>COUNTIFS(  D4:D451,"Neurociencia del Comportamiento, Cognitiva y Afectiva",G4:G451,"Sí")</f>
        <v>0</v>
      </c>
      <c r="AI35" s="5">
        <f>COUNTIFS(  D4:D451,"Neurociencia del Comportamiento, Cognitiva y Afectiva",G4:G451,"No")</f>
        <v>8</v>
      </c>
      <c r="AJ35" s="5">
        <f>SUMIFS(E4:E451, D4:D451,"Neurociencia del Comportamiento, Cognitiva y Afectiva",G4:G451,"Sí")</f>
        <v>0</v>
      </c>
      <c r="AK35" s="5">
        <f>SUMIFS(E4:E451, D4:D451,"Neurociencia del Comportamiento, Cognitiva y Afectiva",G4:G451,"No")</f>
        <v>46</v>
      </c>
      <c r="AL35" s="5">
        <f>COUNTIFS(  D4:D451,"Neurociencia del Comportamiento, Cognitiva y Afectiva",H4:H451,"Sí")</f>
        <v>4</v>
      </c>
      <c r="AM35" s="5">
        <f>COUNTIFS(  D4:D451,"Neurociencia del Comportamiento, Cognitiva y Afectiva",I4:I451,"Sí")</f>
        <v>7</v>
      </c>
      <c r="AN35" s="5">
        <f>COUNTIFS(  D4:D451,"Neurociencia del Comportamiento, Cognitiva y Afectiva",I4:I451,"No")</f>
        <v>1</v>
      </c>
      <c r="AO35" s="5">
        <f>SUMIFS(E4:E451, D4:D451,"Neurociencia del Comportamiento, Cognitiva y Afectiva",I4:I451,"Sí")</f>
        <v>44</v>
      </c>
      <c r="AP35" s="5">
        <f>SUMIFS(E4:E451, D4:D451,"Neurociencia del Comportamiento, Cognitiva y Afectiva",I4:I451,"No")</f>
        <v>2</v>
      </c>
      <c r="AQ35" s="5">
        <f>COUNTIFS(  D4:D451,"Neurociencia del Comportamiento, Cognitiva y Afectiva",J4:J451,"Sí")</f>
        <v>6</v>
      </c>
      <c r="AR35" s="5">
        <f>COUNTIFS(  D4:D451,"Neurociencia del Comportamiento, Cognitiva y Afectiva",K4:K451,"Sí")</f>
        <v>4</v>
      </c>
      <c r="AS35" s="5">
        <f>COUNTIFS(  D4:D451,"Neurociencia del Comportamiento, Cognitiva y Afectiva",L4:L451,"Sí")</f>
        <v>7</v>
      </c>
      <c r="AT35" s="5">
        <f>SUMIFS(E4:E451, D4:D451,"Neurociencia del Comportamiento, Cognitiva y Afectiva")</f>
        <v>46</v>
      </c>
      <c r="AU35" s="5">
        <f>SUMIFS( E4:E451, F4:F451,"Hombre", D4:D451,"Neurociencia del Comportamiento, Cognitiva y Afectiva")</f>
        <v>39</v>
      </c>
      <c r="AV35" s="5">
        <f>SUMIFS( E4:E451, F4:F451,"Mujer", D4:D451,"Neurociencia del Comportamiento, Cognitiva y Afectiva")</f>
        <v>7</v>
      </c>
      <c r="AW35" s="29">
        <f>SUMIFS( E4:E451, A4:A451,"2013", D4:D451,"Neurociencia del Comportamiento, Cognitiva y Afectiva")</f>
        <v>0</v>
      </c>
      <c r="AX35" s="5">
        <f>SUMIFS( E4:E451, A4:A451,"2014", D4:D451,"Neurociencia del Comportamiento, Cognitiva y Afectiva")</f>
        <v>0</v>
      </c>
      <c r="AY35" s="5">
        <f>SUMIFS( E4:E451, A4:A451,"2015", D4:D451,"Neurociencia del Comportamiento, Cognitiva y Afectiva")</f>
        <v>27</v>
      </c>
      <c r="AZ35" s="5">
        <f>SUMIFS( E4:E451, A4:A451,"2016", D4:D451,"Neurociencia del Comportamiento, Cognitiva y Afectiva")</f>
        <v>5</v>
      </c>
      <c r="BA35" s="5">
        <f>SUMIFS( E4:E451, A4:A451,"2017", D4:D451,"Neurociencia del Comportamiento, Cognitiva y Afectiva")</f>
        <v>14</v>
      </c>
      <c r="BB35" s="29">
        <f>SUMIFS( E4:E451, N4:N451,"2014", D4:D451,"Neurociencia del Comportamiento, Cognitiva y Afectiva")</f>
        <v>0</v>
      </c>
      <c r="BC35" s="5">
        <f>SUMIFS( E4:E451, N4:N451,"2015", D4:D451,"Neurociencia del Comportamiento, Cognitiva y Afectiva")</f>
        <v>0</v>
      </c>
      <c r="BD35" s="5">
        <f>SUMIFS( E4:E451, N4:N451,"2016", D4:D451,"Neurociencia del Comportamiento, Cognitiva y Afectiva")</f>
        <v>27</v>
      </c>
      <c r="BE35" s="5">
        <f>SUMIFS( E4:E451, N4:N451,"2017", D4:D451,"Neurociencia del Comportamiento, Cognitiva y Afectiva")</f>
        <v>9</v>
      </c>
      <c r="BF35" s="5">
        <f>SUMIFS( E4:E451, N4:N451,"2018", D4:D451,"Neurociencia del Comportamiento, Cognitiva y Afectiva")</f>
        <v>10</v>
      </c>
      <c r="BG35" s="23">
        <f>AVERAGEIFS(E4:E451, D4:D451,"Neurociencia del Comportamiento, Cognitiva y Afectiva")</f>
        <v>5.75</v>
      </c>
      <c r="BH35" s="23">
        <v>0</v>
      </c>
      <c r="BI35" s="23">
        <v>0</v>
      </c>
      <c r="BJ35" s="23">
        <f>AVERAGEIFS( E4:E451, A4:A451,"2015", D4:D451,"Neurociencia del Comportamiento, Cognitiva y Afectiva")</f>
        <v>13.5</v>
      </c>
      <c r="BK35" s="23">
        <f>AVERAGEIFS( E4:E451, A4:A451,"2016", D4:D451,"Neurociencia del Comportamiento, Cognitiva y Afectiva")</f>
        <v>5</v>
      </c>
      <c r="BL35" s="23">
        <f>AVERAGEIFS( E4:E451, A4:A451,"2017", D4:D451,"Neurociencia del Comportamiento, Cognitiva y Afectiva")</f>
        <v>2.8</v>
      </c>
      <c r="BM35" s="23">
        <v>5.75</v>
      </c>
      <c r="BN35" s="23">
        <v>0</v>
      </c>
      <c r="BO35" s="23">
        <v>0</v>
      </c>
      <c r="BP35" s="23">
        <v>13.5</v>
      </c>
      <c r="BQ35" s="23">
        <v>5</v>
      </c>
      <c r="BR35" s="23">
        <v>2.8</v>
      </c>
    </row>
    <row r="36" spans="1:70" ht="15" customHeight="1" x14ac:dyDescent="0.25">
      <c r="A36">
        <v>2014</v>
      </c>
      <c r="B36" t="s">
        <v>4</v>
      </c>
      <c r="C36" t="s">
        <v>5</v>
      </c>
      <c r="D36" t="s">
        <v>9</v>
      </c>
      <c r="E36">
        <v>15</v>
      </c>
      <c r="F36" t="s">
        <v>215</v>
      </c>
      <c r="G36" t="s">
        <v>233</v>
      </c>
      <c r="H36" t="s">
        <v>234</v>
      </c>
      <c r="I36" t="s">
        <v>233</v>
      </c>
      <c r="J36" t="s">
        <v>234</v>
      </c>
      <c r="K36" t="s">
        <v>233</v>
      </c>
      <c r="L36" t="s">
        <v>234</v>
      </c>
      <c r="M36" s="14">
        <v>41971</v>
      </c>
      <c r="N36" s="14" t="str">
        <f t="shared" si="0"/>
        <v>2014</v>
      </c>
      <c r="O36" s="55" t="s">
        <v>36</v>
      </c>
      <c r="P36" s="56"/>
      <c r="Q36" s="56"/>
      <c r="R36" s="56"/>
      <c r="S36" s="56"/>
      <c r="T36" s="57"/>
      <c r="U36" s="5">
        <f>COUNTIFS(   D4:D451,"Psicología Clínica y de la Salud")</f>
        <v>6</v>
      </c>
      <c r="V36" s="5">
        <f>COUNTIFS(   D4:D451,"Psicología Clínica y de la Salud",F4:F451,"Hombre")</f>
        <v>2</v>
      </c>
      <c r="W36" s="5">
        <f>COUNTIFS(   D4:D451,"Psicología Clínica y de la Salud",F4:F451,"Mujer")</f>
        <v>4</v>
      </c>
      <c r="X36" s="29">
        <f>COUNTIFS(   A4:A451,"2013", D4:D451,"Psicología Clínica y de la Salud")</f>
        <v>0</v>
      </c>
      <c r="Y36" s="5">
        <f>COUNTIFS(   A4:A451,"2014", D4:D451,"Psicología Clínica y de la Salud")</f>
        <v>0</v>
      </c>
      <c r="Z36" s="5">
        <f>COUNTIFS(   A4:A451,"2015", D4:D451,"Psicología Clínica y de la Salud")</f>
        <v>0</v>
      </c>
      <c r="AA36" s="5">
        <f>COUNTIFS(   A4:A451,"2016", D4:D451,"Psicología Clínica y de la Salud")</f>
        <v>3</v>
      </c>
      <c r="AB36" s="5">
        <f>COUNTIFS(   A4:A451,"2017", D4:D451,"Psicología Clínica y de la Salud")</f>
        <v>3</v>
      </c>
      <c r="AC36" s="29">
        <f>COUNTIFS(   N4:N451,"2014", D4:D451,"Psicología Clínica y de la Salud")</f>
        <v>0</v>
      </c>
      <c r="AD36" s="5">
        <f>COUNTIFS(   N4:N451,"2015", D4:D451,"Psicología Clínica y de la Salud")</f>
        <v>0</v>
      </c>
      <c r="AE36" s="5">
        <f>COUNTIFS(   N4:N451,"2016", D4:D451,"Psicología Clínica y de la Salud")</f>
        <v>0</v>
      </c>
      <c r="AF36" s="5">
        <f>COUNTIFS(   N4:N451,"2017", D4:D451,"Psicología Clínica y de la Salud")</f>
        <v>4</v>
      </c>
      <c r="AG36" s="5">
        <f>COUNTIFS(   N4:N451,"2018", D4:D451,"Psicología Clínica y de la Salud")</f>
        <v>2</v>
      </c>
      <c r="AH36" s="5">
        <f>COUNTIFS(   D4:D451,"Psicología Clínica y de la Salud",G4:G451,"Sí")</f>
        <v>1</v>
      </c>
      <c r="AI36" s="5">
        <f>COUNTIFS(   D4:D451,"Psicología Clínica y de la Salud",G4:G451,"No")</f>
        <v>5</v>
      </c>
      <c r="AJ36" s="5">
        <f>SUMIFS( E4:E451, D4:D451,"Psicología Clínica y de la Salud",G4:G451,"Sí")</f>
        <v>7</v>
      </c>
      <c r="AK36" s="5">
        <f>SUMIFS( E4:E451, D4:D451,"Psicología Clínica y de la Salud",G4:G451,"No")</f>
        <v>31</v>
      </c>
      <c r="AL36" s="5">
        <f>COUNTIFS(   D4:D451,"Psicología Clínica y de la Salud",H4:H451,"Sí")</f>
        <v>2</v>
      </c>
      <c r="AM36" s="5">
        <f>COUNTIFS(   D4:D451,"Psicología Clínica y de la Salud",I4:I451,"Sí")</f>
        <v>4</v>
      </c>
      <c r="AN36" s="5">
        <f>COUNTIFS(   D4:D451,"Psicología Clínica y de la Salud",I4:I451,"No")</f>
        <v>2</v>
      </c>
      <c r="AO36" s="5">
        <f>SUMIFS( E4:E451, D4:D451,"Psicología Clínica y de la Salud",I4:I451,"Sí")</f>
        <v>23</v>
      </c>
      <c r="AP36" s="5">
        <f>SUMIFS( E4:E451, D4:D451,"Psicología Clínica y de la Salud",I4:I451,"No")</f>
        <v>15</v>
      </c>
      <c r="AQ36" s="5">
        <f>COUNTIFS(   D4:D451,"Psicología Clínica y de la Salud",J4:J451,"Sí")</f>
        <v>6</v>
      </c>
      <c r="AR36" s="5">
        <f>COUNTIFS(   D4:D451,"Psicología Clínica y de la Salud",K4:K451,"Sí")</f>
        <v>2</v>
      </c>
      <c r="AS36" s="5">
        <f>COUNTIFS(   D4:D451,"Psicología Clínica y de la Salud",L4:L451,"Sí")</f>
        <v>6</v>
      </c>
      <c r="AT36" s="5">
        <f>SUMIFS( E4:E451, D4:D451,"Psicología Clínica y de la Salud")</f>
        <v>38</v>
      </c>
      <c r="AU36" s="5">
        <f>SUMIFS( E4:E451, F4:F451,"Hombre", D4:D451,"Psicología Clínica y de la Salud")</f>
        <v>12</v>
      </c>
      <c r="AV36" s="5">
        <f>SUMIFS( E4:E451, F4:F451,"Mujer", D4:D451,"Psicología Clínica y de la Salud")</f>
        <v>26</v>
      </c>
      <c r="AW36" s="29">
        <f>SUMIFS( E4:E451, A4:A451,"2013", D4:D451,"Psicología Clínica y de la Salud")</f>
        <v>0</v>
      </c>
      <c r="AX36" s="5">
        <f>SUMIFS( E4:E451, A4:A451,"2014", D4:D451,"Psicología Clínica y de la Salud")</f>
        <v>0</v>
      </c>
      <c r="AY36" s="5">
        <f>SUMIFS( E4:E451, A4:A451,"2015", D4:D451,"Psicología Clínica y de la Salud")</f>
        <v>0</v>
      </c>
      <c r="AZ36" s="5">
        <f>SUMIFS( E4:E451, A4:A451,"2016", D4:D451,"Psicología Clínica y de la Salud")</f>
        <v>16</v>
      </c>
      <c r="BA36" s="5">
        <f>SUMIFS( E4:E451, A4:A451,"2017", D4:D451,"Psicología Clínica y de la Salud")</f>
        <v>22</v>
      </c>
      <c r="BB36" s="29">
        <f>SUMIFS( E4:E451, N4:N451,"2014", D4:D451,"Psicología Clínica y de la Salud")</f>
        <v>0</v>
      </c>
      <c r="BC36" s="5">
        <f>SUMIFS( E4:E451, N4:N451,"2015", D4:D451,"Psicología Clínica y de la Salud")</f>
        <v>0</v>
      </c>
      <c r="BD36" s="5">
        <f>SUMIFS( E4:E451, N4:N451,"2016", D4:D451,"Psicología Clínica y de la Salud")</f>
        <v>0</v>
      </c>
      <c r="BE36" s="5">
        <f>SUMIFS( E4:E451, N4:N451,"2017", D4:D451,"Psicología Clínica y de la Salud")</f>
        <v>23</v>
      </c>
      <c r="BF36" s="5">
        <f>SUMIFS( E4:E451, N4:N451,"2018", D4:D451,"Psicología Clínica y de la Salud")</f>
        <v>15</v>
      </c>
      <c r="BG36" s="23">
        <f>AVERAGEIFS( E4:E451, D4:D451,"Psicología Clínica y de la Salud")</f>
        <v>6.333333333333333</v>
      </c>
      <c r="BH36" s="23">
        <v>0</v>
      </c>
      <c r="BI36" s="23">
        <v>0</v>
      </c>
      <c r="BJ36" s="23">
        <v>0</v>
      </c>
      <c r="BK36" s="23">
        <f>AVERAGEIFS( E4:E451, A4:A451,"2016", D4:D451,"Psicología Clínica y de la Salud")</f>
        <v>5.333333333333333</v>
      </c>
      <c r="BL36" s="23">
        <f>AVERAGEIFS( E4:E451, A4:A451,"2017", D4:D451,"Psicología Clínica y de la Salud")</f>
        <v>7.333333333333333</v>
      </c>
      <c r="BM36" s="23">
        <v>6.333333333333333</v>
      </c>
      <c r="BN36" s="23">
        <v>0</v>
      </c>
      <c r="BO36" s="23">
        <v>0</v>
      </c>
      <c r="BP36" s="23">
        <v>0</v>
      </c>
      <c r="BQ36" s="23">
        <v>5.333333333333333</v>
      </c>
      <c r="BR36" s="23">
        <v>7.333333333333333</v>
      </c>
    </row>
    <row r="37" spans="1:70" ht="15" customHeight="1" x14ac:dyDescent="0.25">
      <c r="A37">
        <v>2014</v>
      </c>
      <c r="B37" t="s">
        <v>4</v>
      </c>
      <c r="C37" t="s">
        <v>5</v>
      </c>
      <c r="D37" t="s">
        <v>9</v>
      </c>
      <c r="E37">
        <v>10</v>
      </c>
      <c r="F37" t="s">
        <v>215</v>
      </c>
      <c r="G37" t="s">
        <v>233</v>
      </c>
      <c r="H37" t="s">
        <v>233</v>
      </c>
      <c r="I37" t="s">
        <v>233</v>
      </c>
      <c r="J37" t="s">
        <v>234</v>
      </c>
      <c r="K37" t="s">
        <v>233</v>
      </c>
      <c r="L37" t="s">
        <v>234</v>
      </c>
      <c r="M37" s="14">
        <v>41968</v>
      </c>
      <c r="N37" s="14" t="str">
        <f t="shared" si="0"/>
        <v>2014</v>
      </c>
      <c r="O37" s="55" t="s">
        <v>38</v>
      </c>
      <c r="P37" s="56"/>
      <c r="Q37" s="56"/>
      <c r="R37" s="56"/>
      <c r="S37" s="56"/>
      <c r="T37" s="57"/>
      <c r="U37" s="5">
        <f>COUNTIFS(   D4:D451,"Psicología Experimental y Aplicada")</f>
        <v>4</v>
      </c>
      <c r="V37" s="5">
        <f>COUNTIFS(   D4:D451,"Psicología Experimental y Aplicada",F4:F451,"Hombre")</f>
        <v>2</v>
      </c>
      <c r="W37" s="5">
        <f>COUNTIFS(   D4:D451,"Psicología Experimental y Aplicada",F4:F451,"Mujer")</f>
        <v>2</v>
      </c>
      <c r="X37" s="29">
        <f>COUNTIFS(   A4:A451,"2013", D4:D451,"Psicología Experimental y Aplicada")</f>
        <v>0</v>
      </c>
      <c r="Y37" s="5">
        <f>COUNTIFS(   A4:A451,"2014", D4:D451,"Psicología Experimental y Aplicada")</f>
        <v>0</v>
      </c>
      <c r="Z37" s="5">
        <f>COUNTIFS(   A4:A451,"2015", D4:D451,"Psicología Experimental y Aplicada")</f>
        <v>1</v>
      </c>
      <c r="AA37" s="5">
        <f>COUNTIFS(   A4:A451,"2016", D4:D451,"Psicología Experimental y Aplicada")</f>
        <v>1</v>
      </c>
      <c r="AB37" s="5">
        <f>COUNTIFS(   A4:A451,"2017", D4:D451,"Psicología Experimental y Aplicada")</f>
        <v>2</v>
      </c>
      <c r="AC37" s="29">
        <f>COUNTIFS(   N4:N451,"2014", D4:D451,"Psicología Experimental y Aplicada")</f>
        <v>0</v>
      </c>
      <c r="AD37" s="5">
        <f>COUNTIFS(   N4:N451,"2015", D4:D451,"Psicología Experimental y Aplicada")</f>
        <v>0</v>
      </c>
      <c r="AE37" s="5">
        <f>COUNTIFS(   N4:N451,"2016", D4:D451,"Psicología Experimental y Aplicada")</f>
        <v>1</v>
      </c>
      <c r="AF37" s="5">
        <f>COUNTIFS(   N4:N451,"2017", D4:D451,"Psicología Experimental y Aplicada")</f>
        <v>2</v>
      </c>
      <c r="AG37" s="5">
        <f>COUNTIFS(   N4:N451,"2018", D4:D451,"Psicología Experimental y Aplicada")</f>
        <v>1</v>
      </c>
      <c r="AH37" s="5">
        <f>COUNTIFS(   D4:D451,"Psicología Experimental y Aplicada",G4:G451,"Sí")</f>
        <v>0</v>
      </c>
      <c r="AI37" s="5">
        <f>COUNTIFS(   D4:D451,"Psicología Experimental y Aplicada",G4:G451,"No")</f>
        <v>4</v>
      </c>
      <c r="AJ37" s="5">
        <f>SUMIFS( E4:E451, D4:D451,"Psicología Experimental y Aplicada",G4:G451,"Sí")</f>
        <v>0</v>
      </c>
      <c r="AK37" s="5">
        <f>SUMIFS( E4:E451, D4:D451,"Psicología Experimental y Aplicada",G4:G451,"No")</f>
        <v>15</v>
      </c>
      <c r="AL37" s="5">
        <f>COUNTIFS(   D4:D451,"Psicología Experimental y Aplicada",H4:H451,"Sí")</f>
        <v>1</v>
      </c>
      <c r="AM37" s="5">
        <f>COUNTIFS(   D4:D451,"Psicología Experimental y Aplicada",I4:I451,"Sí")</f>
        <v>2</v>
      </c>
      <c r="AN37" s="5">
        <f>COUNTIFS(   D4:D451,"Psicología Experimental y Aplicada",I4:I451,"No")</f>
        <v>2</v>
      </c>
      <c r="AO37" s="5">
        <f>SUMIFS( E4:E451, D4:D451,"Psicología Experimental y Aplicada",I4:I451,"Sí")</f>
        <v>7</v>
      </c>
      <c r="AP37" s="5">
        <f>SUMIFS( E4:E451, D4:D451,"Psicología Experimental y Aplicada",I4:I451,"No")</f>
        <v>8</v>
      </c>
      <c r="AQ37" s="5">
        <f>COUNTIFS(   D4:D451,"Psicología Experimental y Aplicada",J4:J451,"Sí")</f>
        <v>4</v>
      </c>
      <c r="AR37" s="5">
        <f>COUNTIFS(   D4:D451,"Psicología Experimental y Aplicada",K4:K451,"Sí")</f>
        <v>2</v>
      </c>
      <c r="AS37" s="5">
        <f>COUNTIFS(   D4:D451,"Psicología Experimental y Aplicada",L4:L451,"Sí")</f>
        <v>4</v>
      </c>
      <c r="AT37" s="5">
        <f>SUMIFS( E4:E451, D4:D451,"Psicología Experimental y Aplicada")</f>
        <v>15</v>
      </c>
      <c r="AU37" s="5">
        <f>SUMIFS( E4:E451, F4:F451,"Hombre", D4:D451,"Psicología Experimental y Aplicada")</f>
        <v>8</v>
      </c>
      <c r="AV37" s="5">
        <f>SUMIFS( E4:E451, F4:F451,"Mujer", D4:D451,"Psicología Experimental y Aplicada")</f>
        <v>7</v>
      </c>
      <c r="AW37" s="29">
        <f>SUMIFS( E4:E451, A4:A451,"2013", D4:D451,"Psicología Experimental y Aplicada")</f>
        <v>0</v>
      </c>
      <c r="AX37" s="5">
        <f>SUMIFS( E4:E451, A4:A451,"2014", D4:D451,"Psicología Experimental y Aplicada")</f>
        <v>0</v>
      </c>
      <c r="AY37" s="5">
        <f>SUMIFS( E4:E451, A4:A451,"2015", D4:D451,"Psicología Experimental y Aplicada")</f>
        <v>5</v>
      </c>
      <c r="AZ37" s="5">
        <f>SUMIFS( E4:E451, A4:A451,"2016", D4:D451,"Psicología Experimental y Aplicada")</f>
        <v>2</v>
      </c>
      <c r="BA37" s="5">
        <f>SUMIFS( E4:E451, A4:A451,"2017", D4:D451,"Psicología Experimental y Aplicada")</f>
        <v>8</v>
      </c>
      <c r="BB37" s="29">
        <f>SUMIFS( E4:E451, N4:N451,"2014", D4:D451,"Psicología Experimental y Aplicada")</f>
        <v>0</v>
      </c>
      <c r="BC37" s="5">
        <f>SUMIFS( E4:E451, N4:N451,"2015", D4:D451,"Psicología Experimental y Aplicada")</f>
        <v>0</v>
      </c>
      <c r="BD37" s="5">
        <f>SUMIFS( E4:E451, N4:N451,"2016", D4:D451,"Psicología Experimental y Aplicada")</f>
        <v>5</v>
      </c>
      <c r="BE37" s="5">
        <f>SUMIFS( E4:E451, N4:N451,"2017", D4:D451,"Psicología Experimental y Aplicada")</f>
        <v>4</v>
      </c>
      <c r="BF37" s="5">
        <f>SUMIFS( E4:E451, N4:N451,"2018", D4:D451,"Psicología Experimental y Aplicada")</f>
        <v>6</v>
      </c>
      <c r="BG37" s="23">
        <f>AVERAGEIFS( E4:E451, D4:D451,"Psicología Experimental y Aplicada")</f>
        <v>3.75</v>
      </c>
      <c r="BH37" s="23">
        <v>0</v>
      </c>
      <c r="BI37" s="23">
        <v>0</v>
      </c>
      <c r="BJ37" s="23">
        <f>AVERAGEIFS( E4:E451, A4:A451,"2015", D4:D451,"Psicología Experimental y Aplicada")</f>
        <v>5</v>
      </c>
      <c r="BK37" s="23">
        <f>AVERAGEIFS( E4:E451, A4:A451,"2016", D4:D451,"Psicología Experimental y Aplicada")</f>
        <v>2</v>
      </c>
      <c r="BL37" s="23">
        <f>AVERAGEIFS( E4:E451, A4:A451,"2017", D4:D451,"Psicología Experimental y Aplicada")</f>
        <v>4</v>
      </c>
      <c r="BM37" s="23">
        <v>3.75</v>
      </c>
      <c r="BN37" s="23">
        <v>0</v>
      </c>
      <c r="BO37" s="23">
        <v>0</v>
      </c>
      <c r="BP37" s="23">
        <v>5</v>
      </c>
      <c r="BQ37" s="23">
        <v>2</v>
      </c>
      <c r="BR37" s="23">
        <v>4</v>
      </c>
    </row>
    <row r="38" spans="1:70" ht="15" customHeight="1" x14ac:dyDescent="0.25">
      <c r="A38">
        <v>2014</v>
      </c>
      <c r="B38" t="s">
        <v>4</v>
      </c>
      <c r="C38" t="s">
        <v>5</v>
      </c>
      <c r="D38" t="s">
        <v>9</v>
      </c>
      <c r="E38" s="17">
        <v>10</v>
      </c>
      <c r="F38" t="s">
        <v>215</v>
      </c>
      <c r="G38" t="s">
        <v>233</v>
      </c>
      <c r="H38" t="s">
        <v>233</v>
      </c>
      <c r="I38" t="s">
        <v>233</v>
      </c>
      <c r="J38" t="s">
        <v>234</v>
      </c>
      <c r="K38" t="s">
        <v>233</v>
      </c>
      <c r="L38" t="s">
        <v>234</v>
      </c>
      <c r="M38" s="14">
        <v>41964</v>
      </c>
      <c r="N38" s="14" t="str">
        <f t="shared" si="0"/>
        <v>2014</v>
      </c>
      <c r="O38" s="55" t="s">
        <v>37</v>
      </c>
      <c r="P38" s="56"/>
      <c r="Q38" s="56"/>
      <c r="R38" s="56"/>
      <c r="S38" s="56"/>
      <c r="T38" s="57"/>
      <c r="U38" s="5">
        <f>COUNTIFS(   D4:D451,"Psicología Social y Educativa")</f>
        <v>1</v>
      </c>
      <c r="V38" s="5">
        <f>COUNTIFS(   D4:D451,"Psicología Social y Educativa",F4:F451,"Hombre")</f>
        <v>0</v>
      </c>
      <c r="W38" s="5">
        <f>COUNTIFS(   D4:D451,"Psicología Social y Educativa",F4:F451,"Mujer")</f>
        <v>1</v>
      </c>
      <c r="X38" s="29">
        <f>COUNTIFS(   A4:A451,"2013", D4:D451,"Psicología Social y Educativa")</f>
        <v>0</v>
      </c>
      <c r="Y38" s="5">
        <f>COUNTIFS(   A4:A451,"2014", D4:D451,"Psicología Social y Educativa")</f>
        <v>0</v>
      </c>
      <c r="Z38" s="5">
        <f>COUNTIFS(   A4:A451,"2015", D4:D451,"Psicología Social y Educativa")</f>
        <v>0</v>
      </c>
      <c r="AA38" s="5">
        <f>COUNTIFS(   A4:A451,"2016", D4:D451,"Psicología Social y Educativa")</f>
        <v>0</v>
      </c>
      <c r="AB38" s="5">
        <f>COUNTIFS(   A4:A451,"2017", D4:D451,"Psicología Social y Educativa")</f>
        <v>1</v>
      </c>
      <c r="AC38" s="29">
        <f>COUNTIFS(   N4:N451,"2014", D4:D451,"Psicología Social y Educativa")</f>
        <v>0</v>
      </c>
      <c r="AD38" s="5">
        <f>COUNTIFS(   N4:N451,"2015", D4:D451,"Psicología Social y Educativa")</f>
        <v>0</v>
      </c>
      <c r="AE38" s="5">
        <f>COUNTIFS(   N4:N451,"2016", D4:D451,"Psicología Social y Educativa")</f>
        <v>0</v>
      </c>
      <c r="AF38" s="5">
        <f>COUNTIFS(   N4:N451,"2017", D4:D451,"Psicología Social y Educativa")</f>
        <v>0</v>
      </c>
      <c r="AG38" s="5">
        <f>COUNTIFS(   N4:N451,"2018", D4:D451,"Psicología Social y Educativa")</f>
        <v>1</v>
      </c>
      <c r="AH38" s="5">
        <f>COUNTIFS(   D4:D451,"Psicología Social y Educativa",G4:G451,"Sí")</f>
        <v>0</v>
      </c>
      <c r="AI38" s="5">
        <f>COUNTIFS(   D4:D451,"Psicología Social y Educativa",G4:G451,"No")</f>
        <v>1</v>
      </c>
      <c r="AJ38" s="5">
        <f>SUMIFS( E4:E451, D4:D451,"Psicología Social y Educativa",G4:G451,"Sí")</f>
        <v>0</v>
      </c>
      <c r="AK38" s="5">
        <f>SUMIFS( E4:E451, D4:D451,"Psicología Social y Educativa",G4:G451,"No")</f>
        <v>1</v>
      </c>
      <c r="AL38" s="5">
        <f>COUNTIFS(   D4:D451,"Psicología Social y Educativa",H4:H451,"Sí")</f>
        <v>0</v>
      </c>
      <c r="AM38" s="5">
        <f>COUNTIFS(   D4:D451,"Psicología Social y Educativa",I4:I451,"Sí")</f>
        <v>1</v>
      </c>
      <c r="AN38" s="5">
        <f>COUNTIFS(   D4:D451,"Psicología Social y Educativa",I4:I451,"No")</f>
        <v>0</v>
      </c>
      <c r="AO38" s="5">
        <f>SUMIFS( E4:E451, D4:D451,"Psicología Social y Educativa",I4:I451,"Sí")</f>
        <v>1</v>
      </c>
      <c r="AP38" s="5">
        <f>SUMIFS( E4:E451, D4:D451,"Psicología Social y Educativa",I4:I451,"No")</f>
        <v>0</v>
      </c>
      <c r="AQ38" s="5">
        <f>COUNTIFS(   D4:D451,"Psicología Social y Educativa",J4:J451,"Sí")</f>
        <v>0</v>
      </c>
      <c r="AR38" s="5">
        <f>COUNTIFS(   D4:D451,"Psicología Social y Educativa",K4:K451,"Sí")</f>
        <v>0</v>
      </c>
      <c r="AS38" s="5">
        <f>COUNTIFS(   D4:D451,"Psicología Social y Educativa",L4:L451,"Sí")</f>
        <v>0</v>
      </c>
      <c r="AT38" s="5">
        <f>SUMIFS( E4:E451, D4:D451,"Psicología Social y Educativa")</f>
        <v>1</v>
      </c>
      <c r="AU38" s="5">
        <f>SUMIFS( E4:E451, F4:F451,"Hombre", D4:D451,"Psicología Social y Educativa")</f>
        <v>0</v>
      </c>
      <c r="AV38" s="5">
        <f>SUMIFS( E4:E451, F4:F451,"Mujer", D4:D451,"Psicología Social y Educativa")</f>
        <v>1</v>
      </c>
      <c r="AW38" s="29">
        <f>SUMIFS( E4:E451, A4:A451,"2013", D4:D451,"Psicología Social y Educativa")</f>
        <v>0</v>
      </c>
      <c r="AX38" s="5">
        <f>SUMIFS( E4:E451, A4:A451,"2014", D4:D451,"Psicología Social y Educativa")</f>
        <v>0</v>
      </c>
      <c r="AY38" s="5">
        <f>SUMIFS( E4:E451, A4:A451,"2015", D4:D451,"Psicología Social y Educativa")</f>
        <v>0</v>
      </c>
      <c r="AZ38" s="5">
        <f>SUMIFS( E4:E451, A4:A451,"2016", D4:D451,"Psicología Social y Educativa")</f>
        <v>0</v>
      </c>
      <c r="BA38" s="5">
        <f>SUMIFS( E4:E451, A4:A451,"2017", D4:D451,"Psicología Social y Educativa")</f>
        <v>1</v>
      </c>
      <c r="BB38" s="29">
        <f>SUMIFS( E4:E451, N4:N451,"2014", D4:D451,"Psicología Social y Educativa")</f>
        <v>0</v>
      </c>
      <c r="BC38" s="5">
        <f>SUMIFS( E4:E451, N4:N451,"2015", D4:D451,"Psicología Social y Educativa")</f>
        <v>0</v>
      </c>
      <c r="BD38" s="5">
        <f>SUMIFS( E4:E451, N4:N451,"2016", D4:D451,"Psicología Social y Educativa")</f>
        <v>0</v>
      </c>
      <c r="BE38" s="5">
        <f>SUMIFS( E4:E451, N4:N451,"2017", D4:D451,"Psicología Social y Educativa")</f>
        <v>0</v>
      </c>
      <c r="BF38" s="5">
        <f>SUMIFS( E4:E451, N4:N451,"2018", D4:D451,"Psicología Social y Educativa")</f>
        <v>1</v>
      </c>
      <c r="BG38" s="23">
        <f>AVERAGEIFS( E4:E451, D4:D451,"Psicología Social y Educativa")</f>
        <v>1</v>
      </c>
      <c r="BH38" s="23">
        <v>0</v>
      </c>
      <c r="BI38" s="23">
        <v>0</v>
      </c>
      <c r="BJ38" s="23">
        <v>0</v>
      </c>
      <c r="BK38" s="23">
        <v>0</v>
      </c>
      <c r="BL38" s="23">
        <f>AVERAGEIFS( E4:E451, A4:A451,"2017", D4:D451,"Psicología Social y Educativa")</f>
        <v>1</v>
      </c>
      <c r="BM38" s="23">
        <v>1</v>
      </c>
      <c r="BN38" s="23">
        <v>0</v>
      </c>
      <c r="BO38" s="23">
        <v>0</v>
      </c>
      <c r="BP38" s="23">
        <v>0</v>
      </c>
      <c r="BQ38" s="23">
        <v>0</v>
      </c>
      <c r="BR38" s="23">
        <v>1</v>
      </c>
    </row>
    <row r="39" spans="1:70" ht="15" customHeight="1" x14ac:dyDescent="0.25">
      <c r="A39">
        <v>2014</v>
      </c>
      <c r="B39" t="s">
        <v>4</v>
      </c>
      <c r="C39" t="s">
        <v>5</v>
      </c>
      <c r="D39" t="s">
        <v>9</v>
      </c>
      <c r="E39" s="17">
        <v>2</v>
      </c>
      <c r="F39" t="s">
        <v>211</v>
      </c>
      <c r="G39" t="s">
        <v>233</v>
      </c>
      <c r="H39" t="s">
        <v>233</v>
      </c>
      <c r="I39" t="s">
        <v>233</v>
      </c>
      <c r="J39" t="s">
        <v>234</v>
      </c>
      <c r="K39" t="s">
        <v>233</v>
      </c>
      <c r="L39" t="s">
        <v>234</v>
      </c>
      <c r="M39" s="14">
        <v>41935</v>
      </c>
      <c r="N39" s="14" t="str">
        <f t="shared" si="0"/>
        <v>2014</v>
      </c>
      <c r="O39" s="55" t="s">
        <v>41</v>
      </c>
      <c r="P39" s="56"/>
      <c r="Q39" s="56"/>
      <c r="R39" s="56"/>
      <c r="S39" s="56"/>
      <c r="T39" s="57"/>
      <c r="U39" s="5">
        <f>COUNTIFS(   D4:D451,"Metodología de Investigación y medición en psicología y salud")</f>
        <v>2</v>
      </c>
      <c r="V39" s="5">
        <f>COUNTIFS(   D4:D451,"Metodología de Investigación y medición en psicología y salud",F4:F451,"Hombre")</f>
        <v>1</v>
      </c>
      <c r="W39" s="5">
        <f>COUNTIFS(   D4:D451,"Metodología de Investigación y medición en psicología y salud",F4:F451,"Mujer")</f>
        <v>1</v>
      </c>
      <c r="X39" s="29">
        <f>COUNTIFS(   A4:A451,"2013", D4:D451,"Metodología de Investigación y medición en psicología y salud")</f>
        <v>0</v>
      </c>
      <c r="Y39" s="5">
        <f>COUNTIFS(   A4:A451,"2014", D4:D451,"Metodología de Investigación y medición en psicología y salud")</f>
        <v>0</v>
      </c>
      <c r="Z39" s="5">
        <f>COUNTIFS(   A4:A451,"2015", D4:D451,"Metodología de Investigación y medición en psicología y salud")</f>
        <v>0</v>
      </c>
      <c r="AA39" s="5">
        <f>COUNTIFS(   A4:A451,"2016", D4:D451,"Metodología de Investigación y medición en psicología y salud")</f>
        <v>2</v>
      </c>
      <c r="AB39" s="5">
        <f>COUNTIFS(   A4:A451,"2017", D4:D451,"Metodología de Investigación y medición en psicología y salud")</f>
        <v>0</v>
      </c>
      <c r="AC39" s="29">
        <f>COUNTIFS(   N4:N451,"2014", D4:D451,"Metodología de Investigación y medición en psicología y salud")</f>
        <v>0</v>
      </c>
      <c r="AD39" s="5">
        <f>COUNTIFS(   N4:N451,"2015", D4:D451,"Metodología de Investigación y medición en psicología y salud")</f>
        <v>0</v>
      </c>
      <c r="AE39" s="5">
        <f>COUNTIFS(   N4:N451,"2016", D4:D451,"Metodología de Investigación y medición en psicología y salud")</f>
        <v>0</v>
      </c>
      <c r="AF39" s="5">
        <f>COUNTIFS(   N4:N451,"2017", D4:D451,"Metodología de Investigación y medición en psicología y salud")</f>
        <v>2</v>
      </c>
      <c r="AG39" s="5">
        <f>COUNTIFS(   N4:N451,"2018", D4:D451,"Metodología de Investigación y medición en psicología y salud")</f>
        <v>0</v>
      </c>
      <c r="AH39" s="5">
        <f>COUNTIFS(   D4:D451,"Metodología de Investigación y medición en psicología y salud",G4:G451,"Sí")</f>
        <v>0</v>
      </c>
      <c r="AI39" s="5">
        <f>COUNTIFS(   D4:D451,"Metodología de Investigación y medición en psicología y salud",G4:G451,"No")</f>
        <v>2</v>
      </c>
      <c r="AJ39" s="5">
        <f>SUMIFS( E4:E451, D4:D451,"Metodología de Investigación y medición en psicología y salud",G4:G451,"Sí")</f>
        <v>0</v>
      </c>
      <c r="AK39" s="5">
        <f>SUMIFS( E4:E451, D4:D451,"Metodología de Investigación y medición en psicología y salud",G4:G451,"No")</f>
        <v>23</v>
      </c>
      <c r="AL39" s="5">
        <f>COUNTIFS(   D4:D451,"Metodología de Investigación y medición en psicología y salud",H4:H451,"Sí")</f>
        <v>1</v>
      </c>
      <c r="AM39" s="5">
        <f>COUNTIFS(   D4:D451,"Metodología de Investigación y medición en psicología y salud",I4:I451,"Sí")</f>
        <v>0</v>
      </c>
      <c r="AN39" s="5">
        <f>COUNTIFS(   D4:D451,"Metodología de Investigación y medición en psicología y salud",I4:I451,"No")</f>
        <v>2</v>
      </c>
      <c r="AO39" s="5">
        <f>SUMIFS( E4:E451, D4:D451,"Metodología de Investigación y medición en psicología y salud",I4:I451,"Sí")</f>
        <v>0</v>
      </c>
      <c r="AP39" s="5">
        <f>SUMIFS( E4:E451, D4:D451,"Metodología de Investigación y medición en psicología y salud",I4:I451,"No")</f>
        <v>23</v>
      </c>
      <c r="AQ39" s="5">
        <f>COUNTIFS(   D4:D451,"Metodología de Investigación y medición en psicología y salud",J4:J451,"Sí")</f>
        <v>2</v>
      </c>
      <c r="AR39" s="5">
        <f>COUNTIFS(   D4:D451,"Metodología de Investigación y medición en psicología y salud",K4:K451,"Sí")</f>
        <v>2</v>
      </c>
      <c r="AS39" s="5">
        <f>COUNTIFS(   D4:D451,"Metodología de Investigación y medición en psicología y salud",L4:L451,"Sí")</f>
        <v>2</v>
      </c>
      <c r="AT39" s="5">
        <f>SUMIFS( E4:E451, D4:D451,"Metodología de Investigación y medición en psicología y salud")</f>
        <v>23</v>
      </c>
      <c r="AU39" s="5">
        <f>SUMIFS( E4:E451, F4:F451,"Hombre", D4:D451,"Metodología de Investigación y medición en psicología y salud")</f>
        <v>21</v>
      </c>
      <c r="AV39" s="5">
        <f>SUMIFS( E4:E451, F4:F451,"Mujer", D4:D451,"Metodología de Investigación y medición en psicología y salud")</f>
        <v>2</v>
      </c>
      <c r="AW39" s="29">
        <f>SUMIFS( E4:E451, A4:A451,"2013", D4:D451,"Metodología de Investigación y medición en psicología y salud")</f>
        <v>0</v>
      </c>
      <c r="AX39" s="5">
        <f>SUMIFS( E4:E451, A4:A451,"2014", D4:D451,"Metodología de Investigación y medición en psicología y salud")</f>
        <v>0</v>
      </c>
      <c r="AY39" s="5">
        <f>SUMIFS( E4:E451, A4:A451,"2015", D4:D451,"Metodología de Investigación y medición en psicología y salud")</f>
        <v>0</v>
      </c>
      <c r="AZ39" s="5">
        <f>SUMIFS( E4:E451, A4:A451,"2016", D4:D451,"Metodología de Investigación y medición en psicología y salud")</f>
        <v>23</v>
      </c>
      <c r="BA39" s="5">
        <f>SUMIFS( E4:E451, A4:A451,"2017", D4:D451,"Metodología de Investigación y medición en psicología y salud")</f>
        <v>0</v>
      </c>
      <c r="BB39" s="29">
        <f>SUMIFS( E4:E451, N4:N451,"2014", D4:D451,"Metodología de Investigación y medición en psicología y salud")</f>
        <v>0</v>
      </c>
      <c r="BC39" s="5">
        <f>SUMIFS( E4:E451, N4:N451,"2015", D4:D451,"Metodología de Investigación y medición en psicología y salud")</f>
        <v>0</v>
      </c>
      <c r="BD39" s="5">
        <f>SUMIFS( E4:E451, N4:N451,"2016", D4:D451,"Metodología de Investigación y medición en psicología y salud")</f>
        <v>0</v>
      </c>
      <c r="BE39" s="5">
        <f>SUMIFS( E4:E451, N4:N451,"2017", D4:D451,"Metodología de Investigación y medición en psicología y salud")</f>
        <v>23</v>
      </c>
      <c r="BF39" s="5">
        <f>SUMIFS( E4:E451, N4:N451,"2018", D4:D451,"Metodología de Investigación y medición en psicología y salud")</f>
        <v>0</v>
      </c>
      <c r="BG39" s="23">
        <f>AVERAGEIFS( E4:E451, D4:D451,"Metodología de Investigación y medición en psicología y salud")</f>
        <v>11.5</v>
      </c>
      <c r="BH39" s="23">
        <v>0</v>
      </c>
      <c r="BI39" s="23">
        <v>0</v>
      </c>
      <c r="BJ39" s="23">
        <v>0</v>
      </c>
      <c r="BK39" s="23">
        <f>AVERAGEIFS( E4:E451, A4:A451,"2016", D4:D451,"Metodología de Investigación y medición en psicología y salud")</f>
        <v>11.5</v>
      </c>
      <c r="BL39" s="23">
        <v>0</v>
      </c>
      <c r="BM39" s="23">
        <v>11.5</v>
      </c>
      <c r="BN39" s="23">
        <v>0</v>
      </c>
      <c r="BO39" s="23">
        <v>0</v>
      </c>
      <c r="BP39" s="23">
        <v>0</v>
      </c>
      <c r="BQ39" s="23">
        <v>11.5</v>
      </c>
      <c r="BR39" s="23">
        <v>0</v>
      </c>
    </row>
    <row r="40" spans="1:70" ht="15" customHeight="1" x14ac:dyDescent="0.25">
      <c r="A40">
        <v>2017</v>
      </c>
      <c r="B40" t="s">
        <v>4</v>
      </c>
      <c r="C40" t="s">
        <v>14</v>
      </c>
      <c r="D40" t="s">
        <v>15</v>
      </c>
      <c r="E40" s="17">
        <v>2</v>
      </c>
      <c r="F40" t="s">
        <v>215</v>
      </c>
      <c r="G40" t="s">
        <v>233</v>
      </c>
      <c r="H40" t="s">
        <v>233</v>
      </c>
      <c r="I40" t="s">
        <v>233</v>
      </c>
      <c r="J40" t="s">
        <v>233</v>
      </c>
      <c r="K40" t="s">
        <v>233</v>
      </c>
      <c r="L40" t="s">
        <v>233</v>
      </c>
      <c r="M40" s="14">
        <v>43258</v>
      </c>
      <c r="N40" s="14" t="str">
        <f t="shared" si="0"/>
        <v>2018</v>
      </c>
      <c r="O40" s="61" t="s">
        <v>224</v>
      </c>
      <c r="P40" s="62"/>
      <c r="Q40" s="62"/>
      <c r="R40" s="62"/>
      <c r="S40" s="62"/>
      <c r="T40" s="63"/>
      <c r="U40" s="15">
        <f>COUNTIFS(   B4:B451,"Ciencias, Tecnologías en Ingenierías")</f>
        <v>118</v>
      </c>
      <c r="V40" s="15">
        <f>COUNTIFS(   B4:B451,"Ciencias, Tecnologías en Ingenierías",F4:F451,"Hombre")</f>
        <v>68</v>
      </c>
      <c r="W40" s="15">
        <f>COUNTIFS(   B4:B451,"Ciencias, Tecnologías en Ingenierías",F4:F451,"Mujer")</f>
        <v>50</v>
      </c>
      <c r="X40" s="30">
        <f>COUNTIFS(   A4:A451,"2013", B4:B451,"Ciencias, Tecnologías en Ingenierías")</f>
        <v>0</v>
      </c>
      <c r="Y40" s="15">
        <f>COUNTIFS(   A4:A451,"2014", B4:B451,"Ciencias, Tecnologías en Ingenierías")</f>
        <v>8</v>
      </c>
      <c r="Z40" s="15">
        <f>COUNTIFS(   A4:A451,"2015", B4:B451,"Ciencias, Tecnologías en Ingenierías")</f>
        <v>15</v>
      </c>
      <c r="AA40" s="15">
        <f>COUNTIFS(   A4:A451,"2016", B4:B451,"Ciencias, Tecnologías en Ingenierías")</f>
        <v>38</v>
      </c>
      <c r="AB40" s="15">
        <f>COUNTIFS(   A4:A451,"2017", B4:B451,"Ciencias, Tecnologías en Ingenierías")</f>
        <v>57</v>
      </c>
      <c r="AC40" s="30">
        <f>COUNTIFS(   N4:N451,"2014", B4:B451,"Ciencias, Tecnologías en Ingenierías")</f>
        <v>0</v>
      </c>
      <c r="AD40" s="15">
        <f>COUNTIFS(   N4:N451,"2015", B4:B451,"Ciencias, Tecnologías en Ingenierías")</f>
        <v>11</v>
      </c>
      <c r="AE40" s="15">
        <f>COUNTIFS(   N4:N451,"2016", B4:B451,"Ciencias, Tecnologías en Ingenierías")</f>
        <v>23</v>
      </c>
      <c r="AF40" s="15">
        <f>COUNTIFS(   N4:N451,"2017", B4:B451,"Ciencias, Tecnologías en Ingenierías")</f>
        <v>48</v>
      </c>
      <c r="AG40" s="15">
        <f>COUNTIFS(   N4:N451,"2018", B4:B451,"Ciencias, Tecnologías en Ingenierías")</f>
        <v>36</v>
      </c>
      <c r="AH40" s="15">
        <f>COUNTIFS(   B4:B451,"Ciencias, Tecnologías en Ingenierías",G4:G451,"Sí")</f>
        <v>8</v>
      </c>
      <c r="AI40" s="15">
        <f>COUNTIFS(   B4:B451,"Ciencias, Tecnologías en Ingenierías",G4:G451,"No")</f>
        <v>110</v>
      </c>
      <c r="AJ40" s="15">
        <f>SUMIFS( E4:E451, B4:B451,"Ciencias, Tecnologías en Ingenierías",G4:G451,"Sí")</f>
        <v>45</v>
      </c>
      <c r="AK40" s="15">
        <f>SUMIFS( E4:E451, B4:B451,"Ciencias, Tecnologías en Ingenierías",G4:G451,"No")</f>
        <v>880</v>
      </c>
      <c r="AL40" s="15">
        <f>COUNTIFS(   B4:B451,"Ciencias, Tecnologías en Ingenierías",H4:H451,"Sí")</f>
        <v>24</v>
      </c>
      <c r="AM40" s="15">
        <f>COUNTIFS(   B4:B451,"Ciencias, Tecnologías en Ingenierías",I4:I451,"Sí")</f>
        <v>62</v>
      </c>
      <c r="AN40" s="15">
        <f>COUNTIFS(   B4:B451,"Ciencias, Tecnologías en Ingenierías",I4:I451,"No")</f>
        <v>56</v>
      </c>
      <c r="AO40" s="15">
        <f>SUMIFS( E4:E451, B4:B451,"Ciencias, Tecnologías en Ingenierías",I4:I451,"Sí")</f>
        <v>587</v>
      </c>
      <c r="AP40" s="15">
        <f>SUMIFS( E4:E451, B4:B451,"Ciencias, Tecnologías en Ingenierías",I4:I451,"No")</f>
        <v>338</v>
      </c>
      <c r="AQ40" s="15">
        <f>COUNTIFS(   B4:B451,"Ciencias, Tecnologías en Ingenierías",J4:J451,"Sí")</f>
        <v>99</v>
      </c>
      <c r="AR40" s="15">
        <f>COUNTIFS(   B4:B451,"Ciencias, Tecnologías en Ingenierías",K4:K451,"Sí")</f>
        <v>53</v>
      </c>
      <c r="AS40" s="15">
        <f>COUNTIFS(   B4:B451,"Ciencias, Tecnologías en Ingenierías",L4:L451,"Sí")</f>
        <v>110</v>
      </c>
      <c r="AT40" s="15">
        <f>SUMIFS( E4:E451, B4:B451,"Ciencias, Tecnologías en Ingenierías")</f>
        <v>925</v>
      </c>
      <c r="AU40" s="15">
        <f>SUMIFS( E4:E451, F4:F451,"Hombre", B4:B451,"Ciencias, Tecnologías en Ingenierías")</f>
        <v>542</v>
      </c>
      <c r="AV40" s="15">
        <f>SUMIFS( E4:E451, F4:F451,"Mujer", B4:B451,"Ciencias, Tecnologías en Ingenierías")</f>
        <v>383</v>
      </c>
      <c r="AW40" s="30">
        <f>SUMIFS( E4:E451, A4:A451,"2013", B4:B451,"Ciencias, Tecnologías en Ingenierías")</f>
        <v>0</v>
      </c>
      <c r="AX40" s="15">
        <f>SUMIFS( E4:E451, A4:A451,"2014", B4:B451,"Ciencias, Tecnologías en Ingenierías")</f>
        <v>82</v>
      </c>
      <c r="AY40" s="15">
        <f>SUMIFS( E4:E451, A4:A451,"2015", B4:B451,"Ciencias, Tecnologías en Ingenierías")</f>
        <v>163</v>
      </c>
      <c r="AZ40" s="15">
        <f>SUMIFS( E4:E451, A4:A451,"2016", B4:B451,"Ciencias, Tecnologías en Ingenierías")</f>
        <v>287</v>
      </c>
      <c r="BA40" s="15">
        <f>SUMIFS( E4:E451, A4:A451,"2017", B4:B451,"Ciencias, Tecnologías en Ingenierías")</f>
        <v>393</v>
      </c>
      <c r="BB40" s="30">
        <f>SUMIFS( E4:E451, N4:N451,"2014", B4:B451,"Ciencias, Tecnologías en Ingenierías")</f>
        <v>0</v>
      </c>
      <c r="BC40" s="15">
        <f>SUMIFS( E4:E451, N4:N451,"2015", B4:B451,"Ciencias, Tecnologías en Ingenierías")</f>
        <v>96</v>
      </c>
      <c r="BD40" s="15">
        <f>SUMIFS( E4:E451, N4:N451,"2016", B4:B451,"Ciencias, Tecnologías en Ingenierías")</f>
        <v>239</v>
      </c>
      <c r="BE40" s="15">
        <f>SUMIFS( E4:E451, N4:N451,"2017", B4:B451,"Ciencias, Tecnologías en Ingenierías")</f>
        <v>383</v>
      </c>
      <c r="BF40" s="15">
        <f>SUMIFS( E4:E451, N4:N451,"2018", B4:B451,"Ciencias, Tecnologías en Ingenierías")</f>
        <v>207</v>
      </c>
      <c r="BG40" s="21">
        <f>AVERAGEIFS( E4:E451, B4:B451,"Ciencias, Tecnologías en Ingenierías")</f>
        <v>7.8389830508474576</v>
      </c>
      <c r="BH40" s="21">
        <v>0</v>
      </c>
      <c r="BI40" s="21">
        <f>AVERAGEIFS( E4:E451, A4:A451,"2014", B4:B451,"Ciencias, Tecnologías en Ingenierías")</f>
        <v>10.25</v>
      </c>
      <c r="BJ40" s="21">
        <f>AVERAGEIFS( E4:E451, A4:A451,"2015", B4:B451,"Ciencias, Tecnologías en Ingenierías")</f>
        <v>10.866666666666667</v>
      </c>
      <c r="BK40" s="21">
        <f>AVERAGEIFS( E4:E451, A4:A451,"2016", B4:B451,"Ciencias, Tecnologías en Ingenierías")</f>
        <v>7.5526315789473681</v>
      </c>
      <c r="BL40" s="21">
        <f>AVERAGEIFS( E4:E451, A4:A451,"2017", B4:B451,"Ciencias, Tecnologías en Ingenierías")</f>
        <v>6.8947368421052628</v>
      </c>
      <c r="BM40" s="21">
        <f>AVERAGE(AT41,AT52,AT60,AT64,AT67,AT75,AT85,AT92,AT95,AT104)</f>
        <v>92.5</v>
      </c>
      <c r="BN40" s="21">
        <v>0</v>
      </c>
      <c r="BO40" s="21">
        <f>AVERAGE(AX41,AX52,AX60,AX64,AX67,AX75,AX85,AX92,AX95,AX104)</f>
        <v>8.1999999999999993</v>
      </c>
      <c r="BP40" s="21">
        <f>AVERAGE(AY41,AY52,AY60,AY64,AY67,AY75,AY85,AY92,AY95,AY104)</f>
        <v>16.3</v>
      </c>
      <c r="BQ40" s="21">
        <f>AVERAGE(AZ41,AZ52,AZ60,AZ64,AZ67,AZ75,AZ85,AZ92,AZ95,AZ104)</f>
        <v>28.7</v>
      </c>
      <c r="BR40" s="21">
        <f>AVERAGE(BA41,BA52,BA60,BA64,BA67,BA75,BA85,BA92,BA95,BA104)</f>
        <v>39.299999999999997</v>
      </c>
    </row>
    <row r="41" spans="1:70" ht="15" customHeight="1" x14ac:dyDescent="0.25">
      <c r="A41">
        <v>2017</v>
      </c>
      <c r="B41" t="s">
        <v>4</v>
      </c>
      <c r="C41" t="s">
        <v>14</v>
      </c>
      <c r="D41" t="s">
        <v>15</v>
      </c>
      <c r="E41" s="17">
        <v>8</v>
      </c>
      <c r="F41" t="s">
        <v>211</v>
      </c>
      <c r="G41" t="s">
        <v>233</v>
      </c>
      <c r="H41" t="s">
        <v>233</v>
      </c>
      <c r="I41" t="s">
        <v>233</v>
      </c>
      <c r="J41" t="s">
        <v>234</v>
      </c>
      <c r="K41" t="s">
        <v>234</v>
      </c>
      <c r="L41" t="s">
        <v>234</v>
      </c>
      <c r="M41" s="14">
        <v>43258</v>
      </c>
      <c r="N41" s="14" t="str">
        <f t="shared" si="0"/>
        <v>2018</v>
      </c>
      <c r="O41" s="6" t="s">
        <v>49</v>
      </c>
      <c r="P41" s="7"/>
      <c r="Q41" s="7"/>
      <c r="R41" s="7"/>
      <c r="S41" s="7"/>
      <c r="T41" s="8"/>
      <c r="U41" s="4">
        <f>COUNTIFS(   C4:C451,"Biología Fundamental y de Sistemas")</f>
        <v>17</v>
      </c>
      <c r="V41" s="4">
        <f>COUNTIFS(   C4:C451,"Biología Fundamental y de Sistemas",F4:F451,"Hombre")</f>
        <v>6</v>
      </c>
      <c r="W41" s="4">
        <f>COUNTIFS(   C4:C451,"Biología Fundamental y de Sistemas",F4:F451,"Mujer")</f>
        <v>11</v>
      </c>
      <c r="X41" s="28">
        <f>COUNTIFS(   A4:A451,"2013", C4:C451,"Biología Fundamental y de Sistemas")</f>
        <v>0</v>
      </c>
      <c r="Y41" s="4">
        <f>COUNTIFS(   A4:A451,"2014", C4:C451,"Biología Fundamental y de Sistemas")</f>
        <v>1</v>
      </c>
      <c r="Z41" s="4">
        <f>COUNTIFS(   A4:A451,"2015", C4:C451,"Biología Fundamental y de Sistemas")</f>
        <v>3</v>
      </c>
      <c r="AA41" s="4">
        <f>COUNTIFS(   A4:A451,"2016", C4:C451,"Biología Fundamental y de Sistemas")</f>
        <v>5</v>
      </c>
      <c r="AB41" s="4">
        <f>COUNTIFS(   A4:A451,"2017", C4:C451,"Biología Fundamental y de Sistemas")</f>
        <v>8</v>
      </c>
      <c r="AC41" s="28">
        <f>COUNTIFS(   N4:N451,"2014", C4:C451,"Biología Fundamental y de Sistemas")</f>
        <v>0</v>
      </c>
      <c r="AD41" s="4">
        <f>COUNTIFS(   N4:N451,"2015", C4:C451,"Biología Fundamental y de Sistemas")</f>
        <v>2</v>
      </c>
      <c r="AE41" s="4">
        <f>COUNTIFS(   N4:N451,"2016", C4:C451,"Biología Fundamental y de Sistemas")</f>
        <v>5</v>
      </c>
      <c r="AF41" s="4">
        <f>COUNTIFS(   N4:N451,"2017", C4:C451,"Biología Fundamental y de Sistemas")</f>
        <v>6</v>
      </c>
      <c r="AG41" s="4">
        <f>COUNTIFS(   N4:N451,"2018", C4:C451,"Biología Fundamental y de Sistemas")</f>
        <v>4</v>
      </c>
      <c r="AH41" s="4">
        <f>COUNTIFS(   C4:C451,"Biología Fundamental y de Sistemas",G4:G451,"Sí")</f>
        <v>0</v>
      </c>
      <c r="AI41" s="4">
        <f>COUNTIFS(   C4:C451,"Biología Fundamental y de Sistemas",G4:G451,"No")</f>
        <v>17</v>
      </c>
      <c r="AJ41" s="4">
        <f>SUMIFS( E4:E451, C4:C451,"Biología Fundamental y de Sistemas",G4:G451,"Sí")</f>
        <v>0</v>
      </c>
      <c r="AK41" s="4">
        <f>SUMIFS( E4:E451, C4:C451,"Biología Fundamental y de Sistemas",G4:G451,"No")</f>
        <v>121</v>
      </c>
      <c r="AL41" s="4">
        <f>COUNTIFS(   C4:C451,"Biología Fundamental y de Sistemas",H4:H451,"Sí")</f>
        <v>2</v>
      </c>
      <c r="AM41" s="4">
        <f>COUNTIFS(   C4:C451,"Biología Fundamental y de Sistemas",I4:I451,"Sí")</f>
        <v>9</v>
      </c>
      <c r="AN41" s="4">
        <f>COUNTIFS(   C4:C451,"Biología Fundamental y de Sistemas",I4:I451,"No")</f>
        <v>8</v>
      </c>
      <c r="AO41" s="4">
        <f>SUMIFS( E4:E451, C4:C451,"Biología Fundamental y de Sistemas",I4:I451,"Sí")</f>
        <v>74</v>
      </c>
      <c r="AP41" s="4">
        <f>SUMIFS( E4:E451, C4:C451,"Biología Fundamental y de Sistemas",I4:I451,"No")</f>
        <v>47</v>
      </c>
      <c r="AQ41" s="4">
        <f>COUNTIFS(   C4:C451,"Biología Fundamental y de Sistemas",J4:J451,"Sí")</f>
        <v>16</v>
      </c>
      <c r="AR41" s="4">
        <f>COUNTIFS(   C4:C451,"Biología Fundamental y de Sistemas",K4:K451,"Sí")</f>
        <v>9</v>
      </c>
      <c r="AS41" s="4">
        <f>COUNTIFS(   C4:C451,"Biología Fundamental y de Sistemas",L4:L451,"Sí")</f>
        <v>17</v>
      </c>
      <c r="AT41" s="4">
        <f>SUMIFS( E4:E451, C4:C451,"Biología Fundamental y de Sistemas")</f>
        <v>121</v>
      </c>
      <c r="AU41" s="4">
        <f>SUMIFS( E4:E451, F4:F451,"Hombre", C4:C451,"Biología Fundamental y de Sistemas")</f>
        <v>45</v>
      </c>
      <c r="AV41" s="4">
        <f>SUMIFS( E4:E451, F4:F451,"Mujer", C4:C451,"Biología Fundamental y de Sistemas")</f>
        <v>76</v>
      </c>
      <c r="AW41" s="28">
        <f>SUMIFS( E4:E451, A4:A451,"2013", C4:C451,"Biología Fundamental y de Sistemas")</f>
        <v>0</v>
      </c>
      <c r="AX41" s="4">
        <f>SUMIFS( E4:E451, A4:A451,"2014", C4:C451,"Biología Fundamental y de Sistemas")</f>
        <v>19</v>
      </c>
      <c r="AY41" s="4">
        <f>SUMIFS( E4:E451, A4:A451,"2015", C4:C451,"Biología Fundamental y de Sistemas")</f>
        <v>25</v>
      </c>
      <c r="AZ41" s="4">
        <f>SUMIFS( E4:E451, A4:A451,"2016", C4:C451,"Biología Fundamental y de Sistemas")</f>
        <v>41</v>
      </c>
      <c r="BA41" s="4">
        <f>SUMIFS( E4:E451, A4:A451,"2017", C4:C451,"Biología Fundamental y de Sistemas")</f>
        <v>36</v>
      </c>
      <c r="BB41" s="28">
        <f>SUMIFS( E4:E451, N4:N451,"2014", C4:C451,"Biología Fundamental y de Sistemas")</f>
        <v>0</v>
      </c>
      <c r="BC41" s="4">
        <f>SUMIFS( E4:E451, N4:N451,"2015", C4:C451,"Biología Fundamental y de Sistemas")</f>
        <v>22</v>
      </c>
      <c r="BD41" s="4">
        <f>SUMIFS( E4:E451, N4:N451,"2016", C4:C451,"Biología Fundamental y de Sistemas")</f>
        <v>44</v>
      </c>
      <c r="BE41" s="4">
        <f>SUMIFS( E4:E451, N4:N451,"2017", C4:C451,"Biología Fundamental y de Sistemas")</f>
        <v>36</v>
      </c>
      <c r="BF41" s="4">
        <f>SUMIFS( E4:E451, N4:N451,"2018", C4:C451,"Biología Fundamental y de Sistemas")</f>
        <v>19</v>
      </c>
      <c r="BG41" s="22">
        <f>AVERAGEIFS( E4:E451, C4:C451,"Biología Fundamental y de Sistemas")</f>
        <v>7.117647058823529</v>
      </c>
      <c r="BH41" s="22">
        <v>0</v>
      </c>
      <c r="BI41" s="22">
        <f>AVERAGEIFS( E4:E451, A4:A451,"2014", C4:C451,"Biología Fundamental y de Sistemas")</f>
        <v>19</v>
      </c>
      <c r="BJ41" s="22">
        <f>AVERAGEIFS( E4:E451, A4:A451,"2015", C4:C451,"Biología Fundamental y de Sistemas")</f>
        <v>8.3333333333333339</v>
      </c>
      <c r="BK41" s="22">
        <f>AVERAGEIFS( E4:E451, A4:A451,"2016", C4:C451,"Biología Fundamental y de Sistemas")</f>
        <v>8.1999999999999993</v>
      </c>
      <c r="BL41" s="22">
        <f>AVERAGEIFS( E4:E451, A4:A451,"2017", C4:C451,"Biología Fundamental y de Sistemas")</f>
        <v>4.5</v>
      </c>
      <c r="BM41" s="22">
        <f>AVERAGE(AT42:AT51)</f>
        <v>12.1</v>
      </c>
      <c r="BN41" s="22">
        <v>0</v>
      </c>
      <c r="BO41" s="22">
        <f>AVERAGE(AX42:AX51)</f>
        <v>1.9</v>
      </c>
      <c r="BP41" s="22">
        <f>AVERAGE(AY42:AY51)</f>
        <v>2.5</v>
      </c>
      <c r="BQ41" s="22">
        <f>AVERAGE(AZ42:AZ51)</f>
        <v>4.0999999999999996</v>
      </c>
      <c r="BR41" s="22">
        <f>AVERAGE(BA42:BA51)</f>
        <v>3.6</v>
      </c>
    </row>
    <row r="42" spans="1:70" ht="15" customHeight="1" x14ac:dyDescent="0.25">
      <c r="A42">
        <v>2017</v>
      </c>
      <c r="B42" t="s">
        <v>4</v>
      </c>
      <c r="C42" t="s">
        <v>14</v>
      </c>
      <c r="D42" t="s">
        <v>15</v>
      </c>
      <c r="E42" s="17">
        <v>7</v>
      </c>
      <c r="F42" t="s">
        <v>211</v>
      </c>
      <c r="G42" t="s">
        <v>233</v>
      </c>
      <c r="H42" t="s">
        <v>233</v>
      </c>
      <c r="I42" t="s">
        <v>233</v>
      </c>
      <c r="J42" t="s">
        <v>234</v>
      </c>
      <c r="K42" t="s">
        <v>234</v>
      </c>
      <c r="L42" t="s">
        <v>234</v>
      </c>
      <c r="M42" s="14">
        <v>43073</v>
      </c>
      <c r="N42" s="14" t="str">
        <f t="shared" si="0"/>
        <v>2017</v>
      </c>
      <c r="O42" s="55" t="s">
        <v>50</v>
      </c>
      <c r="P42" s="56"/>
      <c r="Q42" s="56"/>
      <c r="R42" s="56"/>
      <c r="S42" s="56"/>
      <c r="T42" s="57"/>
      <c r="U42" s="5">
        <f>COUNTIFS(   D4:D451,"Antioxidantes y Señalización por Especies de Oxígeno y Nitrógeno Reactivo en Plantas")</f>
        <v>1</v>
      </c>
      <c r="V42" s="5">
        <f>COUNTIFS(   D4:D451,"Antioxidantes y Señalización por Especies de Oxígeno y Nitrógeno Reactivo en Plantas",F4:F451,"Hombre")</f>
        <v>0</v>
      </c>
      <c r="W42" s="5">
        <f>COUNTIFS(   D4:D451,"Antioxidantes y Señalización por Especies de Oxígeno y Nitrógeno Reactivo en Plantas",F4:F451,"Mujer")</f>
        <v>1</v>
      </c>
      <c r="X42" s="29">
        <f>COUNTIFS(   A4:A451,"2013", D4:D451,"Antioxidantes y Señalización por Especies de Oxígeno y Nitrógeno Reactivo en Plantas")</f>
        <v>0</v>
      </c>
      <c r="Y42" s="5">
        <f>COUNTIFS(   A4:A451,"2014", D4:D451,"Antioxidantes y Señalización por Especies de Oxígeno y Nitrógeno Reactivo en Plantas")</f>
        <v>0</v>
      </c>
      <c r="Z42" s="5">
        <f>COUNTIFS(   A4:A451,"2015", D4:D451,"Antioxidantes y Señalización por Especies de Oxígeno y Nitrógeno Reactivo en Plantas")</f>
        <v>0</v>
      </c>
      <c r="AA42" s="5">
        <f>COUNTIFS(   A4:A451,"2016", D4:D451,"Antioxidantes y Señalización por Especies de Oxígeno y Nitrógeno Reactivo en Plantas")</f>
        <v>1</v>
      </c>
      <c r="AB42" s="5">
        <f>COUNTIFS(   A4:A451,"2017", D4:D451,"Antioxidantes y Señalización por Especies de Oxígeno y Nitrógeno Reactivo en Plantas")</f>
        <v>0</v>
      </c>
      <c r="AC42" s="29">
        <f>COUNTIFS(   N4:N451,"2014", D4:D451,"Antioxidantes y Señalización por Especies de Oxígeno y Nitrógeno Reactivo en Plantas")</f>
        <v>0</v>
      </c>
      <c r="AD42" s="5">
        <f>COUNTIFS(   N4:N451,"2015", D4:D451,"Antioxidantes y Señalización por Especies de Oxígeno y Nitrógeno Reactivo en Plantas")</f>
        <v>0</v>
      </c>
      <c r="AE42" s="5">
        <f>COUNTIFS(   N4:N451,"2016", D4:D451,"Antioxidantes y Señalización por Especies de Oxígeno y Nitrógeno Reactivo en Plantas")</f>
        <v>0</v>
      </c>
      <c r="AF42" s="5">
        <f>COUNTIFS(   N4:N451,"2017", D4:D451,"Antioxidantes y Señalización por Especies de Oxígeno y Nitrógeno Reactivo en Plantas")</f>
        <v>1</v>
      </c>
      <c r="AG42" s="5">
        <f>COUNTIFS(   N4:N451,"2018", D4:D451,"Antioxidantes y Señalización por Especies de Oxígeno y Nitrógeno Reactivo en Plantas")</f>
        <v>0</v>
      </c>
      <c r="AH42" s="5">
        <f>COUNTIFS(   D4:D451,"Antioxidantes y Señalización por Especies de Oxígeno y Nitrógeno Reactivo en Plantas",G4:G451,"Sí")</f>
        <v>0</v>
      </c>
      <c r="AI42" s="5">
        <f>COUNTIFS(   D4:D451,"Antioxidantes y Señalización por Especies de Oxígeno y Nitrógeno Reactivo en Plantas",G4:G451,"No")</f>
        <v>1</v>
      </c>
      <c r="AJ42" s="5">
        <f>SUMIFS( E4:E451, D4:D451,"Antioxidantes y Señalización por Especies de Oxígeno y Nitrógeno Reactivo en Plantas",G4:G451,"Sí")</f>
        <v>0</v>
      </c>
      <c r="AK42" s="5">
        <f>SUMIFS( E4:E451, D4:D451,"Antioxidantes y Señalización por Especies de Oxígeno y Nitrógeno Reactivo en Plantas",G4:G451,"No")</f>
        <v>11</v>
      </c>
      <c r="AL42" s="5">
        <f>COUNTIFS(   D4:D451,"Antioxidantes y Señalización por Especies de Oxígeno y Nitrógeno Reactivo en Plantas",H4:H451,"Sí")</f>
        <v>0</v>
      </c>
      <c r="AM42" s="5">
        <f>COUNTIFS(   D4:D451,"Antioxidantes y Señalización por Especies de Oxígeno y Nitrógeno Reactivo en Plantas",I4:I451,"Sí")</f>
        <v>1</v>
      </c>
      <c r="AN42" s="5">
        <f>COUNTIFS(   D4:D451,"Antioxidantes y Señalización por Especies de Oxígeno y Nitrógeno Reactivo en Plantas",I4:I451,"No")</f>
        <v>0</v>
      </c>
      <c r="AO42" s="5">
        <f>SUMIFS( E4:E451, D4:D451,"Antioxidantes y Señalización por Especies de Oxígeno y Nitrógeno Reactivo en Plantas",I4:I451,"Sí")</f>
        <v>11</v>
      </c>
      <c r="AP42" s="5">
        <f>SUMIFS( E4:E451, D4:D451,"Antioxidantes y Señalización por Especies de Oxígeno y Nitrógeno Reactivo en Plantas",I4:I451,"No")</f>
        <v>0</v>
      </c>
      <c r="AQ42" s="5">
        <f>COUNTIFS(   D4:D451,"Antioxidantes y Señalización por Especies de Oxígeno y Nitrógeno Reactivo en Plantas",J4:J451,"Sí")</f>
        <v>1</v>
      </c>
      <c r="AR42" s="5">
        <f>COUNTIFS(   D4:D451,"Antioxidantes y Señalización por Especies de Oxígeno y Nitrógeno Reactivo en Plantas",K4:K451,"Sí")</f>
        <v>0</v>
      </c>
      <c r="AS42" s="5">
        <f>COUNTIFS(   D4:D451,"Antioxidantes y Señalización por Especies de Oxígeno y Nitrógeno Reactivo en Plantas",L4:L451,"Sí")</f>
        <v>1</v>
      </c>
      <c r="AT42" s="5">
        <f>SUMIFS( E4:E451, D4:D451,"Antioxidantes y Señalización por Especies de Oxígeno y Nitrógeno Reactivo en Plantas")</f>
        <v>11</v>
      </c>
      <c r="AU42" s="5">
        <f>SUMIFS( E4:E451, F4:F451,"Hombre", D4:D451,"Antioxidantes y Señalización por Especies de Oxígeno y Nitrógeno Reactivo en Plantas")</f>
        <v>0</v>
      </c>
      <c r="AV42" s="5">
        <f>SUMIFS( E4:E451, F4:F451,"Mujer", D4:D451,"Antioxidantes y Señalización por Especies de Oxígeno y Nitrógeno Reactivo en Plantas")</f>
        <v>11</v>
      </c>
      <c r="AW42" s="29">
        <f>SUMIFS( E4:E451, A4:A451,"2013", D4:D451,"Antioxidantes y Señalización por Especies de Oxígeno y Nitrógeno Reactivo en Plantas")</f>
        <v>0</v>
      </c>
      <c r="AX42" s="5">
        <f>SUMIFS( E4:E451, A4:A451,"2014", D4:D451,"Antioxidantes y Señalización por Especies de Oxígeno y Nitrógeno Reactivo en Plantas")</f>
        <v>0</v>
      </c>
      <c r="AY42" s="5">
        <f>SUMIFS( E4:E451, A4:A451,"2015", D4:D451,"Antioxidantes y Señalización por Especies de Oxígeno y Nitrógeno Reactivo en Plantas")</f>
        <v>0</v>
      </c>
      <c r="AZ42" s="5">
        <f>SUMIFS( E4:E451, A4:A451,"2016", D4:D451,"Antioxidantes y Señalización por Especies de Oxígeno y Nitrógeno Reactivo en Plantas")</f>
        <v>11</v>
      </c>
      <c r="BA42" s="5">
        <f>SUMIFS( E4:E451, A4:A451,"2017", D4:D451,"Antioxidantes y Señalización por Especies de Oxígeno y Nitrógeno Reactivo en Plantas")</f>
        <v>0</v>
      </c>
      <c r="BB42" s="29">
        <f>SUMIFS( E4:E451, N4:N451,"2014", D4:D451,"Antioxidantes y Señalización por Especies de Oxígeno y Nitrógeno Reactivo en Plantas")</f>
        <v>0</v>
      </c>
      <c r="BC42" s="5">
        <f>SUMIFS( E4:E451, N4:N451,"2015", D4:D451,"Antioxidantes y Señalización por Especies de Oxígeno y Nitrógeno Reactivo en Plantas")</f>
        <v>0</v>
      </c>
      <c r="BD42" s="5">
        <f>SUMIFS( E4:E451, N4:N451,"2016", D4:D451,"Antioxidantes y Señalización por Especies de Oxígeno y Nitrógeno Reactivo en Plantas")</f>
        <v>0</v>
      </c>
      <c r="BE42" s="5">
        <f>SUMIFS( E4:E451, N4:N451,"2017", D4:D451,"Antioxidantes y Señalización por Especies de Oxígeno y Nitrógeno Reactivo en Plantas")</f>
        <v>11</v>
      </c>
      <c r="BF42" s="5">
        <f>SUMIFS( E4:E451, N4:N451,"2018", D4:D451,"Antioxidantes y Señalización por Especies de Oxígeno y Nitrógeno Reactivo en Plantas")</f>
        <v>0</v>
      </c>
      <c r="BG42" s="23">
        <f>AVERAGEIFS( E4:E451, D4:D451,"Antioxidantes y Señalización por Especies de Oxígeno y Nitrógeno Reactivo en Plantas")</f>
        <v>11</v>
      </c>
      <c r="BH42" s="23">
        <v>0</v>
      </c>
      <c r="BI42" s="23">
        <v>0</v>
      </c>
      <c r="BJ42" s="23">
        <v>0</v>
      </c>
      <c r="BK42" s="23">
        <f>AVERAGEIFS( E4:E451, A4:A451,"2016", D4:D451,"Antioxidantes y Señalización por Especies de Oxígeno y Nitrógeno Reactivo en Plantas")</f>
        <v>11</v>
      </c>
      <c r="BL42" s="23">
        <v>0</v>
      </c>
      <c r="BM42" s="23">
        <v>11</v>
      </c>
      <c r="BN42" s="23">
        <v>0</v>
      </c>
      <c r="BO42" s="23">
        <v>0</v>
      </c>
      <c r="BP42" s="23">
        <v>0</v>
      </c>
      <c r="BQ42" s="23">
        <v>11</v>
      </c>
      <c r="BR42" s="23">
        <v>0</v>
      </c>
    </row>
    <row r="43" spans="1:70" ht="15" customHeight="1" x14ac:dyDescent="0.25">
      <c r="A43">
        <v>2016</v>
      </c>
      <c r="B43" t="s">
        <v>4</v>
      </c>
      <c r="C43" t="s">
        <v>14</v>
      </c>
      <c r="D43" t="s">
        <v>16</v>
      </c>
      <c r="E43" s="17">
        <v>4</v>
      </c>
      <c r="F43" t="s">
        <v>215</v>
      </c>
      <c r="G43" t="s">
        <v>233</v>
      </c>
      <c r="H43" t="s">
        <v>233</v>
      </c>
      <c r="I43" t="s">
        <v>233</v>
      </c>
      <c r="J43" t="s">
        <v>233</v>
      </c>
      <c r="K43" t="s">
        <v>233</v>
      </c>
      <c r="L43" t="s">
        <v>234</v>
      </c>
      <c r="M43" s="14">
        <v>42860</v>
      </c>
      <c r="N43" s="14" t="str">
        <f t="shared" si="0"/>
        <v>2017</v>
      </c>
      <c r="O43" s="55" t="s">
        <v>51</v>
      </c>
      <c r="P43" s="56"/>
      <c r="Q43" s="56"/>
      <c r="R43" s="56"/>
      <c r="S43" s="56"/>
      <c r="T43" s="57"/>
      <c r="U43" s="5">
        <f>COUNTIFS(   D4:D451,"Biología, Conservación y Gestión de la Fauna")</f>
        <v>2</v>
      </c>
      <c r="V43" s="5">
        <f>COUNTIFS(   D4:D451,"Biología, Conservación y Gestión de la Fauna",F4:F451,"Hombre")</f>
        <v>1</v>
      </c>
      <c r="W43" s="5">
        <f>COUNTIFS(   D4:D451,"Biología, Conservación y Gestión de la Fauna",F4:F451,"Mujer")</f>
        <v>1</v>
      </c>
      <c r="X43" s="29">
        <f>COUNTIFS(   A4:A451,"2013", D4:D451,"Biología, Conservación y Gestión de la Fauna")</f>
        <v>0</v>
      </c>
      <c r="Y43" s="5">
        <f>COUNTIFS(   A4:A451,"2014", D4:D451,"Biología, Conservación y Gestión de la Fauna")</f>
        <v>0</v>
      </c>
      <c r="Z43" s="5">
        <f>COUNTIFS(   A4:A451,"2015", D4:D451,"Biología, Conservación y Gestión de la Fauna")</f>
        <v>0</v>
      </c>
      <c r="AA43" s="5">
        <f>COUNTIFS(   A4:A451,"2016", D4:D451,"Biología, Conservación y Gestión de la Fauna")</f>
        <v>1</v>
      </c>
      <c r="AB43" s="5">
        <f>COUNTIFS(   A4:A451,"2017", D4:D451,"Biología, Conservación y Gestión de la Fauna")</f>
        <v>1</v>
      </c>
      <c r="AC43" s="29">
        <f>COUNTIFS(   N4:N451,"2014", D4:D451,"Biología, Conservación y Gestión de la Fauna")</f>
        <v>0</v>
      </c>
      <c r="AD43" s="5">
        <f>COUNTIFS(   N4:N451,"2015", D4:D451,"Biología, Conservación y Gestión de la Fauna")</f>
        <v>0</v>
      </c>
      <c r="AE43" s="5">
        <f>COUNTIFS(   N4:N451,"2016", D4:D451,"Biología, Conservación y Gestión de la Fauna")</f>
        <v>1</v>
      </c>
      <c r="AF43" s="5">
        <f>COUNTIFS(   N4:N451,"2017", D4:D451,"Biología, Conservación y Gestión de la Fauna")</f>
        <v>0</v>
      </c>
      <c r="AG43" s="5">
        <f>COUNTIFS(   N4:N451,"2018", D4:D451,"Biología, Conservación y Gestión de la Fauna")</f>
        <v>1</v>
      </c>
      <c r="AH43" s="5">
        <f>COUNTIFS(   D4:D451,"Biología, Conservación y Gestión de la Fauna",G4:G451,"Sí")</f>
        <v>0</v>
      </c>
      <c r="AI43" s="5">
        <f>COUNTIFS(   D4:D451,"Biología, Conservación y Gestión de la Fauna",G4:G451,"No")</f>
        <v>2</v>
      </c>
      <c r="AJ43" s="5">
        <f>SUMIFS( E4:E451, D4:D451,"Biología, Conservación y Gestión de la Fauna",G4:G451,"Sí")</f>
        <v>0</v>
      </c>
      <c r="AK43" s="5">
        <f>SUMIFS( E4:E451, D4:D451,"Biología, Conservación y Gestión de la Fauna",G4:G451,"No")</f>
        <v>9</v>
      </c>
      <c r="AL43" s="5">
        <f>COUNTIFS(   D4:D451,"Biología, Conservación y Gestión de la Fauna",H4:H451,"Sí")</f>
        <v>0</v>
      </c>
      <c r="AM43" s="5">
        <f>COUNTIFS(   D4:D451,"Biología, Conservación y Gestión de la Fauna",I4:I451,"Sí")</f>
        <v>0</v>
      </c>
      <c r="AN43" s="5">
        <f>COUNTIFS(   D4:D451,"Biología, Conservación y Gestión de la Fauna",I4:I451,"No")</f>
        <v>2</v>
      </c>
      <c r="AO43" s="5">
        <f>SUMIFS( E4:E451, D4:D451,"Biología, Conservación y Gestión de la Fauna",I4:I451,"Sí")</f>
        <v>0</v>
      </c>
      <c r="AP43" s="5">
        <f>SUMIFS( E4:E451, D4:D451,"Biología, Conservación y Gestión de la Fauna",I4:I451,"No")</f>
        <v>9</v>
      </c>
      <c r="AQ43" s="5">
        <f>COUNTIFS(   D4:D451,"Biología, Conservación y Gestión de la Fauna",J4:J451,"Sí")</f>
        <v>2</v>
      </c>
      <c r="AR43" s="5">
        <f>COUNTIFS(   D4:D451,"Biología, Conservación y Gestión de la Fauna",K4:K451,"Sí")</f>
        <v>2</v>
      </c>
      <c r="AS43" s="5">
        <f>COUNTIFS(   D4:D451,"Biología, Conservación y Gestión de la Fauna",L4:L451,"Sí")</f>
        <v>2</v>
      </c>
      <c r="AT43" s="5">
        <f>SUMIFS( E4:E451, D4:D451,"Biología, Conservación y Gestión de la Fauna")</f>
        <v>9</v>
      </c>
      <c r="AU43" s="5">
        <f>SUMIFS( E4:E451, F4:F451,"Hombre", D4:D451,"Biología, Conservación y Gestión de la Fauna")</f>
        <v>2</v>
      </c>
      <c r="AV43" s="5">
        <f>SUMIFS( E4:E451, F4:F451,"Mujer", D4:D451,"Biología, Conservación y Gestión de la Fauna")</f>
        <v>7</v>
      </c>
      <c r="AW43" s="29">
        <f>SUMIFS( E4:E451, A4:A451,"2013", D4:D451,"Biología, Conservación y Gestión de la Fauna")</f>
        <v>0</v>
      </c>
      <c r="AX43" s="5">
        <f>SUMIFS( E4:E451, A4:A451,"2014", D4:D451,"Biología, Conservación y Gestión de la Fauna")</f>
        <v>0</v>
      </c>
      <c r="AY43" s="5">
        <f>SUMIFS( E4:E451, A4:A451,"2015", D4:D451,"Biología, Conservación y Gestión de la Fauna")</f>
        <v>0</v>
      </c>
      <c r="AZ43" s="5">
        <f>SUMIFS( E4:E451, A4:A451,"2016", D4:D451,"Biología, Conservación y Gestión de la Fauna")</f>
        <v>7</v>
      </c>
      <c r="BA43" s="5">
        <f>SUMIFS( E4:E451, A4:A451,"2017", D4:D451,"Biología, Conservación y Gestión de la Fauna")</f>
        <v>2</v>
      </c>
      <c r="BB43" s="29">
        <f>SUMIFS( E4:E451, N4:N451,"2014", D4:D451,"Biología, Conservación y Gestión de la Fauna")</f>
        <v>0</v>
      </c>
      <c r="BC43" s="5">
        <f>SUMIFS( E4:E451, N4:N451,"2015", D4:D451,"Biología, Conservación y Gestión de la Fauna")</f>
        <v>0</v>
      </c>
      <c r="BD43" s="5">
        <f>SUMIFS( E4:E451, N4:N451,"2016", D4:D451,"Biología, Conservación y Gestión de la Fauna")</f>
        <v>7</v>
      </c>
      <c r="BE43" s="5">
        <f>SUMIFS( E4:E451, N4:N451,"2017", D4:D451,"Biología, Conservación y Gestión de la Fauna")</f>
        <v>0</v>
      </c>
      <c r="BF43" s="5">
        <f>SUMIFS( E4:E451, N4:N451,"2018", D4:D451,"Biología, Conservación y Gestión de la Fauna")</f>
        <v>2</v>
      </c>
      <c r="BG43" s="23">
        <f>AVERAGEIFS( E4:E451, D4:D451,"Biología, Conservación y Gestión de la Fauna")</f>
        <v>4.5</v>
      </c>
      <c r="BH43" s="23">
        <v>0</v>
      </c>
      <c r="BI43" s="23">
        <v>0</v>
      </c>
      <c r="BJ43" s="23">
        <v>0</v>
      </c>
      <c r="BK43" s="23">
        <f>AVERAGEIFS( E4:E451, A4:A451,"2016", D4:D451,"Biología, Conservación y Gestión de la Fauna")</f>
        <v>7</v>
      </c>
      <c r="BL43" s="23">
        <f>AVERAGEIFS( E4:E451, A4:A451,"2017", D4:D451,"Biología, Conservación y Gestión de la Fauna")</f>
        <v>2</v>
      </c>
      <c r="BM43" s="23">
        <v>4.5</v>
      </c>
      <c r="BN43" s="23">
        <v>0</v>
      </c>
      <c r="BO43" s="23">
        <v>0</v>
      </c>
      <c r="BP43" s="23">
        <v>0</v>
      </c>
      <c r="BQ43" s="23">
        <v>7</v>
      </c>
      <c r="BR43" s="23">
        <v>2</v>
      </c>
    </row>
    <row r="44" spans="1:70" ht="15" customHeight="1" x14ac:dyDescent="0.25">
      <c r="A44">
        <v>2016</v>
      </c>
      <c r="B44" t="s">
        <v>4</v>
      </c>
      <c r="C44" t="s">
        <v>14</v>
      </c>
      <c r="D44" t="s">
        <v>15</v>
      </c>
      <c r="E44">
        <v>3</v>
      </c>
      <c r="F44" t="s">
        <v>211</v>
      </c>
      <c r="G44" t="s">
        <v>233</v>
      </c>
      <c r="H44" t="s">
        <v>233</v>
      </c>
      <c r="I44" t="s">
        <v>233</v>
      </c>
      <c r="J44" t="s">
        <v>234</v>
      </c>
      <c r="K44" t="s">
        <v>234</v>
      </c>
      <c r="L44" t="s">
        <v>234</v>
      </c>
      <c r="M44" s="14">
        <v>42849</v>
      </c>
      <c r="N44" s="14" t="str">
        <f t="shared" si="0"/>
        <v>2017</v>
      </c>
      <c r="O44" s="55" t="s">
        <v>52</v>
      </c>
      <c r="P44" s="56"/>
      <c r="Q44" s="56"/>
      <c r="R44" s="56"/>
      <c r="S44" s="56"/>
      <c r="T44" s="57"/>
      <c r="U44" s="5">
        <f>COUNTIFS( D4:D451,"Biología, Conservación y Gestión de la Flora")</f>
        <v>1</v>
      </c>
      <c r="V44" s="5">
        <f>COUNTIFS( D4:D451,"Biología, Conservación y Gestión de la Flora",F4:F451,"Hombre")</f>
        <v>1</v>
      </c>
      <c r="W44" s="5">
        <f>COUNTIFS( D4:D451,"Biología, Conservación y Gestión de la Flora",F4:F451,"Mujer")</f>
        <v>0</v>
      </c>
      <c r="X44" s="29">
        <f>COUNTIFS(   A4:A451,"2013", D4:D451,"Biología, Conservación y Gestión de la Flora")</f>
        <v>0</v>
      </c>
      <c r="Y44" s="5">
        <f>COUNTIFS(   A4:A451,"2014", D4:D451,"Biología, Conservación y Gestión de la Flora")</f>
        <v>0</v>
      </c>
      <c r="Z44" s="5">
        <f>COUNTIFS(   A4:A451,"2015", D4:D451,"Biología, Conservación y Gestión de la Flora")</f>
        <v>0</v>
      </c>
      <c r="AA44" s="5">
        <f>COUNTIFS(   A4:A451,"2016", D4:D451,"Biología, Conservación y Gestión de la Flora")</f>
        <v>0</v>
      </c>
      <c r="AB44" s="5">
        <f>COUNTIFS(   A4:A451,"2017", D4:D451,"Biología, Conservación y Gestión de la Flora")</f>
        <v>1</v>
      </c>
      <c r="AC44" s="29">
        <f>COUNTIFS(   N4:N451,"2014", D4:D451,"Biología, Conservación y Gestión de la Flora")</f>
        <v>0</v>
      </c>
      <c r="AD44" s="5">
        <f>COUNTIFS(   N4:N451,"2015", D4:D451,"Biología, Conservación y Gestión de la Flora")</f>
        <v>0</v>
      </c>
      <c r="AE44" s="5">
        <f>COUNTIFS(   N4:N451,"2016", D4:D451,"Biología, Conservación y Gestión de la Flora")</f>
        <v>0</v>
      </c>
      <c r="AF44" s="5">
        <f>COUNTIFS(   N4:N451,"2017", D4:D451,"Biología, Conservación y Gestión de la Flora")</f>
        <v>0</v>
      </c>
      <c r="AG44" s="5">
        <f>COUNTIFS(   N4:N451,"2018", D4:D451,"Biología, Conservación y Gestión de la Flora")</f>
        <v>1</v>
      </c>
      <c r="AH44" s="5">
        <f>COUNTIFS( D4:D451,"Biología, Conservación y Gestión de la Flora",G4:G451,"Sí")</f>
        <v>0</v>
      </c>
      <c r="AI44" s="5">
        <f>COUNTIFS( D4:D451,"Biología, Conservación y Gestión de la Flora",G4:G451,"No")</f>
        <v>1</v>
      </c>
      <c r="AJ44" s="5">
        <f>SUMIFS( E4:E451, D4:D451,"Biología, Conservación y Gestión de la Flora",G4:G451,"Sí")</f>
        <v>0</v>
      </c>
      <c r="AK44" s="5">
        <f>SUMIFS( E4:E451, D4:D451,"Biología, Conservación y Gestión de la Flora",G4:G451,"No")</f>
        <v>10</v>
      </c>
      <c r="AL44" s="5">
        <f>COUNTIFS( D4:D451,"Biología, Conservación y Gestión de la Flora",H4:H451,"Sí")</f>
        <v>1</v>
      </c>
      <c r="AM44" s="5">
        <f>COUNTIFS( D4:D451,"Biología, Conservación y Gestión de la Flora",I4:I451,"Sí")</f>
        <v>0</v>
      </c>
      <c r="AN44" s="5">
        <f>COUNTIFS( D4:D451,"Biología, Conservación y Gestión de la Flora",I4:I451,"No")</f>
        <v>1</v>
      </c>
      <c r="AO44" s="5">
        <f>SUMIFS( E4:E451, D4:D451,"Biología, Conservación y Gestión de la Flora",I4:I451,"Sí")</f>
        <v>0</v>
      </c>
      <c r="AP44" s="5">
        <f>SUMIFS( E4:E451, D4:D451,"Biología, Conservación y Gestión de la Flora",I4:I451,"No")</f>
        <v>10</v>
      </c>
      <c r="AQ44" s="5">
        <f>COUNTIFS( D4:D451,"Biología, Conservación y Gestión de la Flora",J4:J451,"Sí")</f>
        <v>1</v>
      </c>
      <c r="AR44" s="5">
        <f>COUNTIFS( D4:D451,"Biología, Conservación y Gestión de la Flora",K4:K451,"Sí")</f>
        <v>1</v>
      </c>
      <c r="AS44" s="5">
        <f>COUNTIFS( D4:D451,"Biología, Conservación y Gestión de la Flora",L4:L451,"Sí")</f>
        <v>1</v>
      </c>
      <c r="AT44" s="5">
        <f>SUMIFS( E4:E451, D4:D451,"Biología, Conservación y Gestión de la Flora")</f>
        <v>10</v>
      </c>
      <c r="AU44" s="5">
        <f>SUMIFS( E4:E451, F4:F451,"Hombre", D4:D451,"Biología, Conservación y Gestión de la Flora")</f>
        <v>10</v>
      </c>
      <c r="AV44" s="5">
        <f>SUMIFS( E4:E451, F4:F451,"Mujer", D4:D451,"Biología, Conservación y Gestión de la Flora")</f>
        <v>0</v>
      </c>
      <c r="AW44" s="29">
        <f>SUMIFS( E4:E451, A4:A451,"2013", D4:D451,"Biología, Conservación y Gestión de la Flora")</f>
        <v>0</v>
      </c>
      <c r="AX44" s="5">
        <f>SUMIFS( E4:E451, A4:A451,"2014", D4:D451,"Biología, Conservación y Gestión de la Flora")</f>
        <v>0</v>
      </c>
      <c r="AY44" s="5">
        <f>SUMIFS( E4:E451, A4:A451,"2015", D4:D451,"Biología, Conservación y Gestión de la Flora")</f>
        <v>0</v>
      </c>
      <c r="AZ44" s="5">
        <f>SUMIFS( E4:E451, A4:A451,"2016", D4:D451,"Biología, Conservación y Gestión de la Flora")</f>
        <v>0</v>
      </c>
      <c r="BA44" s="5">
        <f>SUMIFS( E4:E451, A4:A451,"2017", D4:D451,"Biología, Conservación y Gestión de la Flora")</f>
        <v>10</v>
      </c>
      <c r="BB44" s="29">
        <f>SUMIFS( E4:E451, N4:N451,"2014", D4:D451,"Biología, Conservación y Gestión de la Flora")</f>
        <v>0</v>
      </c>
      <c r="BC44" s="5">
        <f>SUMIFS( E4:E451, N4:N451,"2015", D4:D451,"Biología, Conservación y Gestión de la Flora")</f>
        <v>0</v>
      </c>
      <c r="BD44" s="5">
        <f>SUMIFS( E4:E451, N4:N451,"2016", D4:D451,"Biología, Conservación y Gestión de la Flora")</f>
        <v>0</v>
      </c>
      <c r="BE44" s="5">
        <f>SUMIFS( E4:E451, N4:N451,"2017", D4:D451,"Biología, Conservación y Gestión de la Flora")</f>
        <v>0</v>
      </c>
      <c r="BF44" s="5">
        <f>SUMIFS( E4:E451, N4:N451,"2018", D4:D451,"Biología, Conservación y Gestión de la Flora")</f>
        <v>10</v>
      </c>
      <c r="BG44" s="23">
        <f>AVERAGEIFS( E5:E452, D5:D452,"Biología, Conservación y Gestión de la Flora")</f>
        <v>10</v>
      </c>
      <c r="BH44" s="23">
        <v>0</v>
      </c>
      <c r="BI44" s="23">
        <v>0</v>
      </c>
      <c r="BJ44" s="23">
        <v>0</v>
      </c>
      <c r="BK44" s="23">
        <v>0</v>
      </c>
      <c r="BL44" s="23">
        <f>AVERAGEIFS( E4:E451, A4:A451,"2017", D4:D451,"Biología, Conservación y Gestión de la Flora")</f>
        <v>10</v>
      </c>
      <c r="BM44" s="23">
        <v>10</v>
      </c>
      <c r="BN44" s="23">
        <v>0</v>
      </c>
      <c r="BO44" s="23">
        <v>0</v>
      </c>
      <c r="BP44" s="23">
        <v>0</v>
      </c>
      <c r="BQ44" s="23">
        <v>0</v>
      </c>
      <c r="BR44" s="23">
        <v>10</v>
      </c>
    </row>
    <row r="45" spans="1:70" ht="15" customHeight="1" x14ac:dyDescent="0.25">
      <c r="A45">
        <v>2016</v>
      </c>
      <c r="B45" t="s">
        <v>4</v>
      </c>
      <c r="C45" t="s">
        <v>14</v>
      </c>
      <c r="D45" t="s">
        <v>15</v>
      </c>
      <c r="E45">
        <v>2</v>
      </c>
      <c r="F45" t="s">
        <v>215</v>
      </c>
      <c r="G45" t="s">
        <v>233</v>
      </c>
      <c r="H45" t="s">
        <v>233</v>
      </c>
      <c r="I45" t="s">
        <v>233</v>
      </c>
      <c r="J45" t="s">
        <v>234</v>
      </c>
      <c r="K45" t="s">
        <v>234</v>
      </c>
      <c r="L45" t="s">
        <v>234</v>
      </c>
      <c r="M45" s="14">
        <v>42815</v>
      </c>
      <c r="N45" s="14" t="str">
        <f t="shared" si="0"/>
        <v>2017</v>
      </c>
      <c r="O45" s="55" t="s">
        <v>53</v>
      </c>
      <c r="P45" s="56"/>
      <c r="Q45" s="56"/>
      <c r="R45" s="56"/>
      <c r="S45" s="56"/>
      <c r="T45" s="57"/>
      <c r="U45" s="5">
        <f>COUNTIFS(   D4:D451,"Bioquímica, Inmunología y Parasitología Molecular")</f>
        <v>1</v>
      </c>
      <c r="V45" s="5">
        <f>COUNTIFS(   D4:D451,"Bioquímica, Inmunología y Parasitología Molecular",F4:F451,"Hombre")</f>
        <v>0</v>
      </c>
      <c r="W45" s="5">
        <f>COUNTIFS(   D4:D451,"Bioquímica, Inmunología y Parasitología Molecular",F4:F451,"Mujer")</f>
        <v>1</v>
      </c>
      <c r="X45" s="29">
        <f>COUNTIFS(   A4:A451,"2013", D4:D451,"Bioquímica, Inmunología y Parasitología Molecular")</f>
        <v>0</v>
      </c>
      <c r="Y45" s="5">
        <f>COUNTIFS(   A4:A451,"2014", D4:D451,"Bioquímica, Inmunología y Parasitología Molecular")</f>
        <v>0</v>
      </c>
      <c r="Z45" s="5">
        <f>COUNTIFS(   A4:A451,"2015", D4:D451,"Bioquímica, Inmunología y Parasitología Molecular")</f>
        <v>0</v>
      </c>
      <c r="AA45" s="5">
        <f>COUNTIFS(   A4:A451,"2016", D4:D451,"Bioquímica, Inmunología y Parasitología Molecular")</f>
        <v>0</v>
      </c>
      <c r="AB45" s="5">
        <f>COUNTIFS(   A4:A451,"2017", D4:D451,"Bioquímica, Inmunología y Parasitología Molecular")</f>
        <v>1</v>
      </c>
      <c r="AC45" s="29">
        <f>COUNTIFS(   N4:N451,"2014", D4:D451,"Bioquímica, Inmunología y Parasitología Molecular")</f>
        <v>0</v>
      </c>
      <c r="AD45" s="5">
        <f>COUNTIFS(   N4:N451,"2015", D4:D451,"Bioquímica, Inmunología y Parasitología Molecular")</f>
        <v>0</v>
      </c>
      <c r="AE45" s="5">
        <f>COUNTIFS(   N4:N451,"2016", D4:D451,"Bioquímica, Inmunología y Parasitología Molecular")</f>
        <v>0</v>
      </c>
      <c r="AF45" s="5">
        <f>COUNTIFS(   N4:N451,"2017", D4:D451,"Bioquímica, Inmunología y Parasitología Molecular")</f>
        <v>1</v>
      </c>
      <c r="AG45" s="5">
        <f>COUNTIFS(   N4:N451,"2018", D4:D451,"Bioquímica, Inmunología y Parasitología Molecular")</f>
        <v>0</v>
      </c>
      <c r="AH45" s="5">
        <f>COUNTIFS(   D4:D451,"Bioquímica, Inmunología y Parasitología Molecular",G4:G451,"Sí")</f>
        <v>0</v>
      </c>
      <c r="AI45" s="5">
        <f>COUNTIFS(   D4:D451,"Bioquímica, Inmunología y Parasitología Molecular",G4:G451,"No")</f>
        <v>1</v>
      </c>
      <c r="AJ45" s="5">
        <f>SUMIFS( E4:E451, D4:D451,"Bioquímica, Inmunología y Parasitología Molecular",G4:G451,"Sí")</f>
        <v>0</v>
      </c>
      <c r="AK45" s="5">
        <f>SUMIFS( E4:E451, D4:D451,"Bioquímica, Inmunología y Parasitología Molecular",G4:G451,"No")</f>
        <v>1</v>
      </c>
      <c r="AL45" s="5">
        <f>COUNTIFS(   D4:D451,"Bioquímica, Inmunología y Parasitología Molecular",H4:H451,"Sí")</f>
        <v>0</v>
      </c>
      <c r="AM45" s="5">
        <f>COUNTIFS(   D4:D451,"Bioquímica, Inmunología y Parasitología Molecular",I4:I451,"Sí")</f>
        <v>0</v>
      </c>
      <c r="AN45" s="5">
        <f>COUNTIFS(   D4:D451,"Bioquímica, Inmunología y Parasitología Molecular",I4:I451,"No")</f>
        <v>1</v>
      </c>
      <c r="AO45" s="5">
        <f>SUMIFS( E4:E451, D4:D451,"Bioquímica, Inmunología y Parasitología Molecular",I4:I451,"Sí")</f>
        <v>0</v>
      </c>
      <c r="AP45" s="5">
        <f>SUMIFS( E4:E451, D4:D451,"Bioquímica, Inmunología y Parasitología Molecular",I4:I451,"No")</f>
        <v>1</v>
      </c>
      <c r="AQ45" s="5">
        <f>COUNTIFS(   D4:D451,"Bioquímica, Inmunología y Parasitología Molecular",J4:J451,"Sí")</f>
        <v>1</v>
      </c>
      <c r="AR45" s="5">
        <f>COUNTIFS(   D4:D451,"Bioquímica, Inmunología y Parasitología Molecular",K4:K451,"Sí")</f>
        <v>1</v>
      </c>
      <c r="AS45" s="5">
        <f>COUNTIFS(   D4:D451,"Bioquímica, Inmunología y Parasitología Molecular",L4:L451,"Sí")</f>
        <v>1</v>
      </c>
      <c r="AT45" s="5">
        <f>SUMIFS( E4:E451, D4:D451,"Bioquímica, Inmunología y Parasitología Molecular")</f>
        <v>1</v>
      </c>
      <c r="AU45" s="5">
        <f>SUMIFS( E4:E451, F4:F451,"Hombre", D4:D451,"Bioquímica, Inmunología y Parasitología Molecular")</f>
        <v>0</v>
      </c>
      <c r="AV45" s="5">
        <f>SUMIFS( E4:E451, F4:F451,"Mujer", D4:D451,"Bioquímica, Inmunología y Parasitología Molecular")</f>
        <v>1</v>
      </c>
      <c r="AW45" s="29">
        <f>SUMIFS( E4:E451, A4:A451,"2013", D4:D451,"Bioquímica, Inmunología y Parasitología Molecular")</f>
        <v>0</v>
      </c>
      <c r="AX45" s="5">
        <f>SUMIFS( E4:E451, A4:A451,"2014", D4:D451,"Bioquímica, Inmunología y Parasitología Molecular")</f>
        <v>0</v>
      </c>
      <c r="AY45" s="5">
        <f>SUMIFS( E4:E451, A4:A451,"2015", D4:D451,"Bioquímica, Inmunología y Parasitología Molecular")</f>
        <v>0</v>
      </c>
      <c r="AZ45" s="5">
        <f>SUMIFS( E4:E451, A4:A451,"2016", D4:D451,"Bioquímica, Inmunología y Parasitología Molecular")</f>
        <v>0</v>
      </c>
      <c r="BA45" s="5">
        <f>SUMIFS( E4:E451, A4:A451,"2017", D4:D451,"Bioquímica, Inmunología y Parasitología Molecular")</f>
        <v>1</v>
      </c>
      <c r="BB45" s="29">
        <f>SUMIFS( E4:E451, N4:N451,"2014", D4:D451,"Bioquímica, Inmunología y Parasitología Molecular")</f>
        <v>0</v>
      </c>
      <c r="BC45" s="5">
        <f>SUMIFS( E4:E451, N4:N451,"2015", D4:D451,"Bioquímica, Inmunología y Parasitología Molecular")</f>
        <v>0</v>
      </c>
      <c r="BD45" s="5">
        <f>SUMIFS( E4:E451, N4:N451,"2016", D4:D451,"Bioquímica, Inmunología y Parasitología Molecular")</f>
        <v>0</v>
      </c>
      <c r="BE45" s="5">
        <f>SUMIFS( E4:E451, N4:N451,"2017", D4:D451,"Bioquímica, Inmunología y Parasitología Molecular")</f>
        <v>1</v>
      </c>
      <c r="BF45" s="5">
        <f>SUMIFS( E4:E451, N4:N451,"2018", D4:D451,"Bioquímica, Inmunología y Parasitología Molecular")</f>
        <v>0</v>
      </c>
      <c r="BG45" s="23">
        <f>AVERAGEIFS( E4:E451, D4:D451,"Bioquímica, Inmunología y Parasitología Molecular")</f>
        <v>1</v>
      </c>
      <c r="BH45" s="23">
        <v>0</v>
      </c>
      <c r="BI45" s="23">
        <v>0</v>
      </c>
      <c r="BJ45" s="23">
        <v>0</v>
      </c>
      <c r="BK45" s="23">
        <v>0</v>
      </c>
      <c r="BL45" s="23">
        <f>AVERAGEIFS( E4:E451, A4:A451,"2017", D4:D451,"Bioquímica, Inmunología y Parasitología Molecular")</f>
        <v>1</v>
      </c>
      <c r="BM45" s="23">
        <v>1</v>
      </c>
      <c r="BN45" s="23">
        <v>0</v>
      </c>
      <c r="BO45" s="23">
        <v>0</v>
      </c>
      <c r="BP45" s="23">
        <v>0</v>
      </c>
      <c r="BQ45" s="23">
        <v>0</v>
      </c>
      <c r="BR45" s="23">
        <v>1</v>
      </c>
    </row>
    <row r="46" spans="1:70" ht="15" customHeight="1" x14ac:dyDescent="0.25">
      <c r="A46">
        <v>2015</v>
      </c>
      <c r="B46" t="s">
        <v>4</v>
      </c>
      <c r="C46" t="s">
        <v>14</v>
      </c>
      <c r="D46" t="s">
        <v>17</v>
      </c>
      <c r="E46">
        <v>2</v>
      </c>
      <c r="F46" t="s">
        <v>215</v>
      </c>
      <c r="G46" t="s">
        <v>233</v>
      </c>
      <c r="H46" t="s">
        <v>233</v>
      </c>
      <c r="I46" t="s">
        <v>233</v>
      </c>
      <c r="J46" t="s">
        <v>234</v>
      </c>
      <c r="K46" t="s">
        <v>233</v>
      </c>
      <c r="L46" t="s">
        <v>234</v>
      </c>
      <c r="M46" s="14">
        <v>42496</v>
      </c>
      <c r="N46" s="14" t="str">
        <f t="shared" si="0"/>
        <v>2016</v>
      </c>
      <c r="O46" s="55" t="s">
        <v>54</v>
      </c>
      <c r="P46" s="56"/>
      <c r="Q46" s="56"/>
      <c r="R46" s="56"/>
      <c r="S46" s="56"/>
      <c r="T46" s="57"/>
      <c r="U46" s="5">
        <f>COUNTIFS(   D4:D451,"Biotecnología y Fisiología de Cultivos de interés Agroalimentario")</f>
        <v>2</v>
      </c>
      <c r="V46" s="5">
        <f>COUNTIFS(   D4:D451,"Biotecnología y Fisiología de Cultivos de interés Agroalimentario",F4:F451,"Hombre")</f>
        <v>1</v>
      </c>
      <c r="W46" s="5">
        <f>COUNTIFS(   D4:D451,"Biotecnología y Fisiología de Cultivos de interés Agroalimentario",F4:F451,"Mujer")</f>
        <v>1</v>
      </c>
      <c r="X46" s="29">
        <f>COUNTIFS(   A4:A451,"2013", D4:D451,"Biotecnología y Fisiología de Cultivos de interés Agroalimentario")</f>
        <v>0</v>
      </c>
      <c r="Y46" s="5">
        <f>COUNTIFS(   A4:A451,"2014", D4:D451,"Biotecnología y Fisiología de Cultivos de interés Agroalimentario")</f>
        <v>0</v>
      </c>
      <c r="Z46" s="5">
        <f>COUNTIFS(   A4:A451,"2015", D4:D451,"Biotecnología y Fisiología de Cultivos de interés Agroalimentario")</f>
        <v>0</v>
      </c>
      <c r="AA46" s="5">
        <f>COUNTIFS(   A4:A451,"2016", D4:D451,"Biotecnología y Fisiología de Cultivos de interés Agroalimentario")</f>
        <v>0</v>
      </c>
      <c r="AB46" s="5">
        <f>COUNTIFS(   A4:A451,"2017", D4:D451,"Biotecnología y Fisiología de Cultivos de interés Agroalimentario")</f>
        <v>2</v>
      </c>
      <c r="AC46" s="29">
        <f>COUNTIFS(   N4:N451,"2014", D4:D451,"Biotecnología y Fisiología de Cultivos de interés Agroalimentario")</f>
        <v>0</v>
      </c>
      <c r="AD46" s="5">
        <f>COUNTIFS(   N4:N451,"2015", D4:D451,"Biotecnología y Fisiología de Cultivos de interés Agroalimentario")</f>
        <v>0</v>
      </c>
      <c r="AE46" s="5">
        <f>COUNTIFS(   N4:N451,"2016", D4:D451,"Biotecnología y Fisiología de Cultivos de interés Agroalimentario")</f>
        <v>0</v>
      </c>
      <c r="AF46" s="5">
        <f>COUNTIFS(   N4:N451,"2017", D4:D451,"Biotecnología y Fisiología de Cultivos de interés Agroalimentario")</f>
        <v>1</v>
      </c>
      <c r="AG46" s="5">
        <f>COUNTIFS(   N4:N451,"2018", D4:D451,"Biotecnología y Fisiología de Cultivos de interés Agroalimentario")</f>
        <v>1</v>
      </c>
      <c r="AH46" s="5">
        <f>COUNTIFS(   D4:D451,"Biotecnología y Fisiología de Cultivos de interés Agroalimentario",G4:G451,"Sí")</f>
        <v>0</v>
      </c>
      <c r="AI46" s="5">
        <f>COUNTIFS(   D4:D451,"Biotecnología y Fisiología de Cultivos de interés Agroalimentario",G4:G451,"No")</f>
        <v>2</v>
      </c>
      <c r="AJ46" s="5">
        <f>SUMIFS( E4:E451, D4:D451,"Biotecnología y Fisiología de Cultivos de interés Agroalimentario",G4:G451,"Sí")</f>
        <v>0</v>
      </c>
      <c r="AK46" s="5">
        <f>SUMIFS( E4:E451, D4:D451,"Biotecnología y Fisiología de Cultivos de interés Agroalimentario",G4:G451,"No")</f>
        <v>3</v>
      </c>
      <c r="AL46" s="5">
        <f>COUNTIFS(   D4:D451,"Biotecnología y Fisiología de Cultivos de interés Agroalimentario",H4:H451,"Sí")</f>
        <v>0</v>
      </c>
      <c r="AM46" s="5">
        <f>COUNTIFS(   D4:D451,"Biotecnología y Fisiología de Cultivos de interés Agroalimentario",I4:I451,"Sí")</f>
        <v>1</v>
      </c>
      <c r="AN46" s="5">
        <f>COUNTIFS(   D4:D451,"Biotecnología y Fisiología de Cultivos de interés Agroalimentario",I4:I451,"No")</f>
        <v>1</v>
      </c>
      <c r="AO46" s="5">
        <f>SUMIFS( E4:E451, D4:D451,"Biotecnología y Fisiología de Cultivos de interés Agroalimentario",I4:I451,"Sí")</f>
        <v>2</v>
      </c>
      <c r="AP46" s="5">
        <f>SUMIFS( E4:E451, D4:D451,"Biotecnología y Fisiología de Cultivos de interés Agroalimentario",I4:I451,"No")</f>
        <v>1</v>
      </c>
      <c r="AQ46" s="5">
        <f>COUNTIFS(   D4:D451,"Biotecnología y Fisiología de Cultivos de interés Agroalimentario",J4:J451,"Sí")</f>
        <v>2</v>
      </c>
      <c r="AR46" s="5">
        <f>COUNTIFS(   D4:D451,"Biotecnología y Fisiología de Cultivos de interés Agroalimentario",K4:K451,"Sí")</f>
        <v>2</v>
      </c>
      <c r="AS46" s="5">
        <f>COUNTIFS(   D4:D451,"Biotecnología y Fisiología de Cultivos de interés Agroalimentario",L4:L451,"Sí")</f>
        <v>2</v>
      </c>
      <c r="AT46" s="5">
        <f>SUMIFS( E4:E451, D4:D451,"Biotecnología y Fisiología de Cultivos de interés Agroalimentario")</f>
        <v>3</v>
      </c>
      <c r="AU46" s="5">
        <f>SUMIFS( E4:E451, F4:F451,"Hombre", D4:D451,"Biotecnología y Fisiología de Cultivos de interés Agroalimentario")</f>
        <v>1</v>
      </c>
      <c r="AV46" s="5">
        <f>SUMIFS( E4:E451, F4:F451,"Mujer", D4:D451,"Biotecnología y Fisiología de Cultivos de interés Agroalimentario")</f>
        <v>2</v>
      </c>
      <c r="AW46" s="29">
        <f>SUMIFS( E4:E451, A4:A451,"2013", D4:D451,"Biotecnología y Fisiología de Cultivos de interés Agroalimentario")</f>
        <v>0</v>
      </c>
      <c r="AX46" s="5">
        <f>SUMIFS( E4:E451, A4:A451,"2014", D4:D451,"Biotecnología y Fisiología de Cultivos de interés Agroalimentario")</f>
        <v>0</v>
      </c>
      <c r="AY46" s="5">
        <f>SUMIFS( E4:E451, A4:A451,"2015", D4:D451,"Biotecnología y Fisiología de Cultivos de interés Agroalimentario")</f>
        <v>0</v>
      </c>
      <c r="AZ46" s="5">
        <f>SUMIFS( E4:E451, A4:A451,"2016", D4:D451,"Biotecnología y Fisiología de Cultivos de interés Agroalimentario")</f>
        <v>0</v>
      </c>
      <c r="BA46" s="5">
        <f>SUMIFS( E4:E451, A4:A451,"2017", D4:D451,"Biotecnología y Fisiología de Cultivos de interés Agroalimentario")</f>
        <v>3</v>
      </c>
      <c r="BB46" s="29">
        <f>SUMIFS( E4:E451, N4:N451,"2014", D4:D451,"Biotecnología y Fisiología de Cultivos de interés Agroalimentario")</f>
        <v>0</v>
      </c>
      <c r="BC46" s="5">
        <f>SUMIFS( E4:E451, N4:N451,"2015", D4:D451,"Biotecnología y Fisiología de Cultivos de interés Agroalimentario")</f>
        <v>0</v>
      </c>
      <c r="BD46" s="5">
        <f>SUMIFS( E4:E451, N4:N451,"2016", D4:D451,"Biotecnología y Fisiología de Cultivos de interés Agroalimentario")</f>
        <v>0</v>
      </c>
      <c r="BE46" s="5">
        <f>SUMIFS( E4:E451, N4:N451,"2017", D4:D451,"Biotecnología y Fisiología de Cultivos de interés Agroalimentario")</f>
        <v>1</v>
      </c>
      <c r="BF46" s="5">
        <f>SUMIFS( E4:E451, N4:N451,"2018", D4:D451,"Biotecnología y Fisiología de Cultivos de interés Agroalimentario")</f>
        <v>2</v>
      </c>
      <c r="BG46" s="23">
        <f>AVERAGEIFS( E4:E451, D4:D451,"Biotecnología y Fisiología de Cultivos de interés Agroalimentario")</f>
        <v>1.5</v>
      </c>
      <c r="BH46" s="23">
        <v>0</v>
      </c>
      <c r="BI46" s="23">
        <v>0</v>
      </c>
      <c r="BJ46" s="23">
        <v>0</v>
      </c>
      <c r="BK46" s="23">
        <v>0</v>
      </c>
      <c r="BL46" s="23">
        <f>AVERAGEIFS( E4:E451, A4:A451,"2017", D4:D451,"Biotecnología y Fisiología de Cultivos de interés Agroalimentario")</f>
        <v>1.5</v>
      </c>
      <c r="BM46" s="23">
        <v>1.5</v>
      </c>
      <c r="BN46" s="23">
        <v>0</v>
      </c>
      <c r="BO46" s="23">
        <v>0</v>
      </c>
      <c r="BP46" s="23">
        <v>0</v>
      </c>
      <c r="BQ46" s="23">
        <v>0</v>
      </c>
      <c r="BR46" s="23">
        <v>1.5</v>
      </c>
    </row>
    <row r="47" spans="1:70" ht="15" customHeight="1" x14ac:dyDescent="0.25">
      <c r="A47">
        <v>2015</v>
      </c>
      <c r="B47" t="s">
        <v>4</v>
      </c>
      <c r="C47" t="s">
        <v>14</v>
      </c>
      <c r="D47" t="s">
        <v>17</v>
      </c>
      <c r="E47">
        <v>27</v>
      </c>
      <c r="F47" t="s">
        <v>215</v>
      </c>
      <c r="G47" t="s">
        <v>233</v>
      </c>
      <c r="H47" t="s">
        <v>233</v>
      </c>
      <c r="I47" t="s">
        <v>233</v>
      </c>
      <c r="J47" t="s">
        <v>234</v>
      </c>
      <c r="K47" t="s">
        <v>233</v>
      </c>
      <c r="L47" t="s">
        <v>234</v>
      </c>
      <c r="M47" s="14">
        <v>42489</v>
      </c>
      <c r="N47" s="14" t="str">
        <f t="shared" si="0"/>
        <v>2016</v>
      </c>
      <c r="O47" s="55" t="s">
        <v>55</v>
      </c>
      <c r="P47" s="56"/>
      <c r="Q47" s="56"/>
      <c r="R47" s="56"/>
      <c r="S47" s="56"/>
      <c r="T47" s="57"/>
      <c r="U47" s="5">
        <f>COUNTIFS(   D4:D451,"Fisiología, Bioquímica y Biología Molecular del Estrés Abiótico en Plantas")</f>
        <v>2</v>
      </c>
      <c r="V47" s="5">
        <f>COUNTIFS(   D4:D451,"Fisiología, Bioquímica y Biología Molecular del Estrés Abiótico en Plantas",F4:F451,"Hombre")</f>
        <v>0</v>
      </c>
      <c r="W47" s="5">
        <f>COUNTIFS(   D4:D451,"Fisiología, Bioquímica y Biología Molecular del Estrés Abiótico en Plantas",F4:F451,"Mujer")</f>
        <v>2</v>
      </c>
      <c r="X47" s="29">
        <f>COUNTIFS(   A4:A451,"2013", D4:D451,"Fisiología, Bioquímica y Biología Molecular del Estrés Abiótico en Plantas")</f>
        <v>0</v>
      </c>
      <c r="Y47" s="5">
        <f>COUNTIFS(   A4:A451,"2014", D4:D451,"Fisiología, Bioquímica y Biología Molecular del Estrés Abiótico en Plantas")</f>
        <v>1</v>
      </c>
      <c r="Z47" s="5">
        <f>COUNTIFS(   A4:A451,"2015", D4:D451,"Fisiología, Bioquímica y Biología Molecular del Estrés Abiótico en Plantas")</f>
        <v>1</v>
      </c>
      <c r="AA47" s="5">
        <f>COUNTIFS(   A4:A451,"2016", D4:D451,"Fisiología, Bioquímica y Biología Molecular del Estrés Abiótico en Plantas")</f>
        <v>0</v>
      </c>
      <c r="AB47" s="5">
        <f>COUNTIFS(   A4:A451,"2017", D4:D451,"Fisiología, Bioquímica y Biología Molecular del Estrés Abiótico en Plantas")</f>
        <v>0</v>
      </c>
      <c r="AC47" s="29">
        <f>COUNTIFS(   N4:N451,"2014", D4:D451,"Fisiología, Bioquímica y Biología Molecular del Estrés Abiótico en Plantas")</f>
        <v>0</v>
      </c>
      <c r="AD47" s="5">
        <f>COUNTIFS(   N4:N451,"2015", D4:D451,"Fisiología, Bioquímica y Biología Molecular del Estrés Abiótico en Plantas")</f>
        <v>1</v>
      </c>
      <c r="AE47" s="5">
        <f>COUNTIFS(   N4:N451,"2016", D4:D451,"Fisiología, Bioquímica y Biología Molecular del Estrés Abiótico en Plantas")</f>
        <v>1</v>
      </c>
      <c r="AF47" s="5">
        <f>COUNTIFS(   N4:N451,"2017", D4:D451,"Fisiología, Bioquímica y Biología Molecular del Estrés Abiótico en Plantas")</f>
        <v>0</v>
      </c>
      <c r="AG47" s="5">
        <f>COUNTIFS(   N4:N451,"2018", D4:D451,"Fisiología, Bioquímica y Biología Molecular del Estrés Abiótico en Plantas")</f>
        <v>0</v>
      </c>
      <c r="AH47" s="5">
        <f>COUNTIFS(   D4:D451,"Fisiología, Bioquímica y Biología Molecular del Estrés Abiótico en Plantas",G4:G451,"Sí")</f>
        <v>0</v>
      </c>
      <c r="AI47" s="5">
        <f>COUNTIFS(   D4:D451,"Fisiología, Bioquímica y Biología Molecular del Estrés Abiótico en Plantas",G4:G451,"No")</f>
        <v>2</v>
      </c>
      <c r="AJ47" s="5">
        <f>SUMIFS( E4:E451, D4:D451,"Fisiología, Bioquímica y Biología Molecular del Estrés Abiótico en Plantas",G4:G451,"Sí")</f>
        <v>0</v>
      </c>
      <c r="AK47" s="5">
        <f>SUMIFS( E4:E451, D4:D451,"Fisiología, Bioquímica y Biología Molecular del Estrés Abiótico en Plantas",G4:G451,"No")</f>
        <v>27</v>
      </c>
      <c r="AL47" s="5">
        <f>COUNTIFS(   D4:D451,"Fisiología, Bioquímica y Biología Molecular del Estrés Abiótico en Plantas",H4:H451,"Sí")</f>
        <v>0</v>
      </c>
      <c r="AM47" s="5">
        <f>COUNTIFS(   D4:D451,"Fisiología, Bioquímica y Biología Molecular del Estrés Abiótico en Plantas",I4:I451,"Sí")</f>
        <v>1</v>
      </c>
      <c r="AN47" s="5">
        <f>COUNTIFS(   D4:D451,"Fisiología, Bioquímica y Biología Molecular del Estrés Abiótico en Plantas",I4:I451,"No")</f>
        <v>1</v>
      </c>
      <c r="AO47" s="5">
        <f>SUMIFS( E4:E451, D4:D451,"Fisiología, Bioquímica y Biología Molecular del Estrés Abiótico en Plantas",I4:I451,"Sí")</f>
        <v>8</v>
      </c>
      <c r="AP47" s="5">
        <f>SUMIFS( E4:E451, D4:D451,"Fisiología, Bioquímica y Biología Molecular del Estrés Abiótico en Plantas",I4:I451,"No")</f>
        <v>19</v>
      </c>
      <c r="AQ47" s="5">
        <f>COUNTIFS(   D4:D451,"Fisiología, Bioquímica y Biología Molecular del Estrés Abiótico en Plantas",J4:J451,"Sí")</f>
        <v>2</v>
      </c>
      <c r="AR47" s="5">
        <f>COUNTIFS(   D4:D451,"Fisiología, Bioquímica y Biología Molecular del Estrés Abiótico en Plantas",K4:K451,"Sí")</f>
        <v>0</v>
      </c>
      <c r="AS47" s="5">
        <f>COUNTIFS(   D4:D451,"Fisiología, Bioquímica y Biología Molecular del Estrés Abiótico en Plantas",L4:L451,"Sí")</f>
        <v>2</v>
      </c>
      <c r="AT47" s="5">
        <f>SUMIFS( E4:E451, D4:D451,"Fisiología, Bioquímica y Biología Molecular del Estrés Abiótico en Plantas")</f>
        <v>27</v>
      </c>
      <c r="AU47" s="5">
        <f>SUMIFS( E4:E451, F4:F451,"Hombre", D4:D451,"Fisiología, Bioquímica y Biología Molecular del Estrés Abiótico en Plantas")</f>
        <v>0</v>
      </c>
      <c r="AV47" s="5">
        <f>SUMIFS( E4:E451, F4:F451,"Mujer", D4:D451,"Fisiología, Bioquímica y Biología Molecular del Estrés Abiótico en Plantas")</f>
        <v>27</v>
      </c>
      <c r="AW47" s="29">
        <f>SUMIFS( E4:E451, A4:A451,"2013", D4:D451,"Fisiología, Bioquímica y Biología Molecular del Estrés Abiótico en Plantas")</f>
        <v>0</v>
      </c>
      <c r="AX47" s="5">
        <f>SUMIFS( E4:E451, A4:A451,"2014", D4:D451,"Fisiología, Bioquímica y Biología Molecular del Estrés Abiótico en Plantas")</f>
        <v>19</v>
      </c>
      <c r="AY47" s="5">
        <f>SUMIFS( E4:E451, A4:A451,"2015", D4:D451,"Fisiología, Bioquímica y Biología Molecular del Estrés Abiótico en Plantas")</f>
        <v>8</v>
      </c>
      <c r="AZ47" s="5">
        <f>SUMIFS( E4:E451, A4:A451,"2016", D4:D451,"Fisiología, Bioquímica y Biología Molecular del Estrés Abiótico en Plantas")</f>
        <v>0</v>
      </c>
      <c r="BA47" s="5">
        <f>SUMIFS( E4:E451, A4:A451,"2017", D4:D451,"Fisiología, Bioquímica y Biología Molecular del Estrés Abiótico en Plantas")</f>
        <v>0</v>
      </c>
      <c r="BB47" s="29">
        <f>SUMIFS( E4:E451, N4:N451,"2014", D4:D451,"Fisiología, Bioquímica y Biología Molecular del Estrés Abiótico en Plantas")</f>
        <v>0</v>
      </c>
      <c r="BC47" s="5">
        <f>SUMIFS( E4:E451, N4:N451,"2015", D4:D451,"Fisiología, Bioquímica y Biología Molecular del Estrés Abiótico en Plantas")</f>
        <v>19</v>
      </c>
      <c r="BD47" s="5">
        <f>SUMIFS( E4:E451, N4:N451,"2016", D4:D451,"Fisiología, Bioquímica y Biología Molecular del Estrés Abiótico en Plantas")</f>
        <v>8</v>
      </c>
      <c r="BE47" s="5">
        <f>SUMIFS( E4:E451, N4:N451,"2017", D4:D451,"Fisiología, Bioquímica y Biología Molecular del Estrés Abiótico en Plantas")</f>
        <v>0</v>
      </c>
      <c r="BF47" s="5">
        <f>SUMIFS( E4:E451, N4:N451,"2018", D4:D451,"Fisiología, Bioquímica y Biología Molecular del Estrés Abiótico en Plantas")</f>
        <v>0</v>
      </c>
      <c r="BG47" s="23">
        <f>AVERAGEIFS( E4:E451, D4:D451,"Fisiología, Bioquímica y Biología Molecular del Estrés Abiótico en Plantas")</f>
        <v>13.5</v>
      </c>
      <c r="BH47" s="23">
        <v>0</v>
      </c>
      <c r="BI47" s="23">
        <f>AVERAGEIFS( E4:E451, A4:A451,"2014", D4:D451,"Fisiología, Bioquímica y Biología Molecular del Estrés Abiótico en Plantas")</f>
        <v>19</v>
      </c>
      <c r="BJ47" s="23">
        <f>AVERAGEIFS( E4:E451, A4:A451,"2015", D4:D451,"Fisiología, Bioquímica y Biología Molecular del Estrés Abiótico en Plantas")</f>
        <v>8</v>
      </c>
      <c r="BK47" s="23">
        <v>0</v>
      </c>
      <c r="BL47" s="23">
        <v>0</v>
      </c>
      <c r="BM47" s="23">
        <v>13.5</v>
      </c>
      <c r="BN47" s="23">
        <v>0</v>
      </c>
      <c r="BO47" s="23">
        <v>19</v>
      </c>
      <c r="BP47" s="23">
        <v>8</v>
      </c>
      <c r="BQ47" s="23">
        <v>0</v>
      </c>
      <c r="BR47" s="23">
        <v>0</v>
      </c>
    </row>
    <row r="48" spans="1:70" ht="15" customHeight="1" x14ac:dyDescent="0.25">
      <c r="A48">
        <v>2015</v>
      </c>
      <c r="B48" t="s">
        <v>4</v>
      </c>
      <c r="C48" t="s">
        <v>14</v>
      </c>
      <c r="D48" t="s">
        <v>17</v>
      </c>
      <c r="E48">
        <v>23</v>
      </c>
      <c r="F48" t="s">
        <v>215</v>
      </c>
      <c r="G48" t="s">
        <v>233</v>
      </c>
      <c r="H48" t="s">
        <v>233</v>
      </c>
      <c r="I48" t="s">
        <v>234</v>
      </c>
      <c r="J48" t="s">
        <v>234</v>
      </c>
      <c r="K48" t="s">
        <v>233</v>
      </c>
      <c r="L48" t="s">
        <v>234</v>
      </c>
      <c r="M48" s="14">
        <v>42475</v>
      </c>
      <c r="N48" s="14" t="str">
        <f t="shared" si="0"/>
        <v>2016</v>
      </c>
      <c r="O48" s="55" t="s">
        <v>56</v>
      </c>
      <c r="P48" s="56"/>
      <c r="Q48" s="56"/>
      <c r="R48" s="56"/>
      <c r="S48" s="56"/>
      <c r="T48" s="57"/>
      <c r="U48" s="5">
        <f>COUNTIFS(   D4:D451,"Genética y Genómica funcional y Evolutiva")</f>
        <v>2</v>
      </c>
      <c r="V48" s="5">
        <f>COUNTIFS(   D4:D451,"Genética y Genómica funcional y Evolutiva",F4:F451,"Hombre")</f>
        <v>1</v>
      </c>
      <c r="W48" s="5">
        <f>COUNTIFS(   D4:D451,"Genética y Genómica funcional y Evolutiva",F4:F451,"Mujer")</f>
        <v>1</v>
      </c>
      <c r="X48" s="29">
        <f>COUNTIFS(   A4:A451,"2013", D4:D451,"Genética y Genómica funcional y Evolutiva")</f>
        <v>0</v>
      </c>
      <c r="Y48" s="5">
        <f>COUNTIFS(   A4:A451,"2014", D4:D451,"Genética y Genómica funcional y Evolutiva")</f>
        <v>0</v>
      </c>
      <c r="Z48" s="5">
        <f>COUNTIFS(   A4:A451,"2015", D4:D451,"Genética y Genómica funcional y Evolutiva")</f>
        <v>1</v>
      </c>
      <c r="AA48" s="5">
        <f>COUNTIFS(   A4:A451,"2016", D4:D451,"Genética y Genómica funcional y Evolutiva")</f>
        <v>1</v>
      </c>
      <c r="AB48" s="5">
        <f>COUNTIFS(   A4:A451,"2017", D4:D451,"Genética y Genómica funcional y Evolutiva")</f>
        <v>0</v>
      </c>
      <c r="AC48" s="29">
        <f>COUNTIFS(   N4:N451,"2014", D4:D451,"Genética y Genómica funcional y Evolutiva")</f>
        <v>0</v>
      </c>
      <c r="AD48" s="5">
        <f>COUNTIFS(   N4:N451,"2015", D4:D451,"Genética y Genómica funcional y Evolutiva")</f>
        <v>1</v>
      </c>
      <c r="AE48" s="5">
        <f>COUNTIFS(   N4:N451,"2016", D4:D451,"Genética y Genómica funcional y Evolutiva")</f>
        <v>0</v>
      </c>
      <c r="AF48" s="5">
        <f>COUNTIFS(   N4:N451,"2017", D4:D451,"Genética y Genómica funcional y Evolutiva")</f>
        <v>1</v>
      </c>
      <c r="AG48" s="5">
        <f>COUNTIFS(   N4:N451,"2018", D4:D451,"Genética y Genómica funcional y Evolutiva")</f>
        <v>0</v>
      </c>
      <c r="AH48" s="5">
        <f>COUNTIFS(   D4:D451,"Genética y Genómica funcional y Evolutiva",G4:G451,"Sí")</f>
        <v>0</v>
      </c>
      <c r="AI48" s="5">
        <f>COUNTIFS(   D4:D451,"Genética y Genómica funcional y Evolutiva",G4:G451,"No")</f>
        <v>2</v>
      </c>
      <c r="AJ48" s="5">
        <f>SUMIFS( E4:E451, D4:D451,"Genética y Genómica funcional y Evolutiva",G4:G451,"Sí")</f>
        <v>0</v>
      </c>
      <c r="AK48" s="5">
        <f>SUMIFS( E4:E451, D4:D451,"Genética y Genómica funcional y Evolutiva",G4:G451,"No")</f>
        <v>11</v>
      </c>
      <c r="AL48" s="5">
        <f>COUNTIFS(   D4:D451,"Genética y Genómica funcional y Evolutiva",H4:H451,"Sí")</f>
        <v>0</v>
      </c>
      <c r="AM48" s="5">
        <f>COUNTIFS(   D4:D451,"Genética y Genómica funcional y Evolutiva",I4:I451,"Sí")</f>
        <v>1</v>
      </c>
      <c r="AN48" s="5">
        <f>COUNTIFS(   D4:D451,"Genética y Genómica funcional y Evolutiva",I4:I451,"No")</f>
        <v>1</v>
      </c>
      <c r="AO48" s="5">
        <f>SUMIFS( E4:E451, D4:D451,"Genética y Genómica funcional y Evolutiva",I4:I451,"Sí")</f>
        <v>8</v>
      </c>
      <c r="AP48" s="5">
        <f>SUMIFS( E4:E451, D4:D451,"Genética y Genómica funcional y Evolutiva",I4:I451,"No")</f>
        <v>3</v>
      </c>
      <c r="AQ48" s="5">
        <f>COUNTIFS(   D4:D451,"Genética y Genómica funcional y Evolutiva",J4:J451,"Sí")</f>
        <v>2</v>
      </c>
      <c r="AR48" s="5">
        <f>COUNTIFS(   D4:D451,"Genética y Genómica funcional y Evolutiva",K4:K451,"Sí")</f>
        <v>1</v>
      </c>
      <c r="AS48" s="5">
        <f>COUNTIFS(   D4:D451,"Genética y Genómica funcional y Evolutiva",L4:L451,"Sí")</f>
        <v>2</v>
      </c>
      <c r="AT48" s="5">
        <f>SUMIFS( E4:E451, D4:D451,"Genética y Genómica funcional y Evolutiva")</f>
        <v>11</v>
      </c>
      <c r="AU48" s="5">
        <f>SUMIFS( E4:E451, F4:F451,"Hombre", D4:D451,"Genética y Genómica funcional y Evolutiva")</f>
        <v>8</v>
      </c>
      <c r="AV48" s="5">
        <f>SUMIFS( E4:E451, F4:F451,"Mujer", D4:D451,"Genética y Genómica funcional y Evolutiva")</f>
        <v>3</v>
      </c>
      <c r="AW48" s="29">
        <f>SUMIFS( E4:E451, A4:A451,"2013", D4:D451,"Genética y Genómica funcional y Evolutiva")</f>
        <v>0</v>
      </c>
      <c r="AX48" s="5">
        <f>SUMIFS( E4:E451, A4:A451,"2014", D4:D451,"Genética y Genómica funcional y Evolutiva")</f>
        <v>0</v>
      </c>
      <c r="AY48" s="5">
        <f>SUMIFS( E4:E451, A4:A451,"2015", D4:D451,"Genética y Genómica funcional y Evolutiva")</f>
        <v>3</v>
      </c>
      <c r="AZ48" s="5">
        <f>SUMIFS( E4:E451, A4:A451,"2016", D4:D451,"Genética y Genómica funcional y Evolutiva")</f>
        <v>8</v>
      </c>
      <c r="BA48" s="5">
        <f>SUMIFS( E4:E451, A4:A451,"2017", D4:D451,"Genética y Genómica funcional y Evolutiva")</f>
        <v>0</v>
      </c>
      <c r="BB48" s="29">
        <f>SUMIFS( E4:E451, N4:N451,"2014", D4:D451,"Genética y Genómica funcional y Evolutiva")</f>
        <v>0</v>
      </c>
      <c r="BC48" s="5">
        <f>SUMIFS( E4:E451, N4:N451,"2015", D4:D451,"Genética y Genómica funcional y Evolutiva")</f>
        <v>3</v>
      </c>
      <c r="BD48" s="5">
        <f>SUMIFS( E4:E451, N4:N451,"2016", D4:D451,"Genética y Genómica funcional y Evolutiva")</f>
        <v>0</v>
      </c>
      <c r="BE48" s="5">
        <f>SUMIFS( E4:E451, N4:N451,"2017", D4:D451,"Genética y Genómica funcional y Evolutiva")</f>
        <v>8</v>
      </c>
      <c r="BF48" s="5">
        <f>SUMIFS( E4:E451, N4:N451,"2018", D4:D451,"Genética y Genómica funcional y Evolutiva")</f>
        <v>0</v>
      </c>
      <c r="BG48" s="23">
        <f>AVERAGEIFS( E4:E451, D4:D451,"Genética y Genómica funcional y Evolutiva")</f>
        <v>5.5</v>
      </c>
      <c r="BH48" s="23">
        <v>0</v>
      </c>
      <c r="BI48" s="23">
        <v>0</v>
      </c>
      <c r="BJ48" s="23">
        <f>AVERAGEIFS( E4:E451, A4:A451,"2015", D4:D451,"Genética y Genómica funcional y Evolutiva")</f>
        <v>3</v>
      </c>
      <c r="BK48" s="23">
        <f>AVERAGEIFS( E4:E451, A4:A451,"2016", D4:D451,"Genética y Genómica funcional y Evolutiva")</f>
        <v>8</v>
      </c>
      <c r="BL48" s="23">
        <v>0</v>
      </c>
      <c r="BM48" s="23">
        <v>5.5</v>
      </c>
      <c r="BN48" s="23">
        <v>0</v>
      </c>
      <c r="BO48" s="23">
        <v>0</v>
      </c>
      <c r="BP48" s="23">
        <v>3</v>
      </c>
      <c r="BQ48" s="23">
        <v>8</v>
      </c>
      <c r="BR48" s="23">
        <v>0</v>
      </c>
    </row>
    <row r="49" spans="1:70" ht="15" customHeight="1" x14ac:dyDescent="0.25">
      <c r="A49">
        <v>2017</v>
      </c>
      <c r="B49" t="s">
        <v>4</v>
      </c>
      <c r="C49" t="s">
        <v>18</v>
      </c>
      <c r="D49" t="s">
        <v>19</v>
      </c>
      <c r="E49" s="17">
        <v>7</v>
      </c>
      <c r="F49" t="s">
        <v>211</v>
      </c>
      <c r="G49" t="s">
        <v>233</v>
      </c>
      <c r="H49" t="s">
        <v>233</v>
      </c>
      <c r="I49" t="s">
        <v>233</v>
      </c>
      <c r="J49" t="s">
        <v>233</v>
      </c>
      <c r="K49" t="s">
        <v>233</v>
      </c>
      <c r="L49" t="s">
        <v>233</v>
      </c>
      <c r="M49" s="14">
        <v>43245</v>
      </c>
      <c r="N49" s="14" t="str">
        <f t="shared" si="0"/>
        <v>2018</v>
      </c>
      <c r="O49" s="55" t="s">
        <v>57</v>
      </c>
      <c r="P49" s="56"/>
      <c r="Q49" s="56"/>
      <c r="R49" s="56"/>
      <c r="S49" s="56"/>
      <c r="T49" s="57"/>
      <c r="U49" s="5">
        <f>COUNTIFS(   D4:D451,"Metabolismo de nutrientes y energía de especies pecuarias")</f>
        <v>1</v>
      </c>
      <c r="V49" s="5">
        <f>COUNTIFS(   D4:D451,"Metabolismo de nutrientes y energía de especies pecuarias",F4:F451,"Hombre")</f>
        <v>0</v>
      </c>
      <c r="W49" s="5">
        <f>COUNTIFS(   D4:D451,"Metabolismo de nutrientes y energía de especies pecuarias",F4:F451,"Mujer")</f>
        <v>1</v>
      </c>
      <c r="X49" s="29">
        <f>COUNTIFS(   A4:A451,"2013", D4:D451,"Metabolismo de nutrientes y energía de especies pecuarias")</f>
        <v>0</v>
      </c>
      <c r="Y49" s="5">
        <f>COUNTIFS(   A4:A451,"2014", D4:D451,"Metabolismo de nutrientes y energía de especies pecuarias")</f>
        <v>0</v>
      </c>
      <c r="Z49" s="5">
        <f>COUNTIFS(   A4:A451,"2015", D4:D451,"Metabolismo de nutrientes y energía de especies pecuarias")</f>
        <v>0</v>
      </c>
      <c r="AA49" s="5">
        <f>COUNTIFS(   A4:A451,"2016", D4:D451,"Metabolismo de nutrientes y energía de especies pecuarias")</f>
        <v>0</v>
      </c>
      <c r="AB49" s="5">
        <f>COUNTIFS(   A4:A451,"2017", D4:D451,"Metabolismo de nutrientes y energía de especies pecuarias")</f>
        <v>1</v>
      </c>
      <c r="AC49" s="29">
        <f>COUNTIFS(   N4:N451,"2014", D4:D451,"Metabolismo de nutrientes y energía de especies pecuarias")</f>
        <v>0</v>
      </c>
      <c r="AD49" s="5">
        <f>COUNTIFS(   N4:N451,"2015", D4:D451,"Metabolismo de nutrientes y energía de especies pecuarias")</f>
        <v>0</v>
      </c>
      <c r="AE49" s="5">
        <f>COUNTIFS(   N4:N451,"2016", D4:D451,"Metabolismo de nutrientes y energía de especies pecuarias")</f>
        <v>0</v>
      </c>
      <c r="AF49" s="5">
        <f>COUNTIFS(   N4:N451,"2017", D4:D451,"Metabolismo de nutrientes y energía de especies pecuarias")</f>
        <v>1</v>
      </c>
      <c r="AG49" s="5">
        <f>COUNTIFS(   N4:N451,"2018", D4:D451,"Metabolismo de nutrientes y energía de especies pecuarias")</f>
        <v>0</v>
      </c>
      <c r="AH49" s="5">
        <f>COUNTIFS(   D4:D451,"Metabolismo de nutrientes y energía de especies pecuarias",G4:G451,"Sí")</f>
        <v>0</v>
      </c>
      <c r="AI49" s="5">
        <f>COUNTIFS(   D4:D451,"Metabolismo de nutrientes y energía de especies pecuarias",G4:G451,"No")</f>
        <v>1</v>
      </c>
      <c r="AJ49" s="5">
        <f>SUMIFS( E4:E451, D4:D451,"Metabolismo de nutrientes y energía de especies pecuarias",G4:G451,"Sí")</f>
        <v>0</v>
      </c>
      <c r="AK49" s="5">
        <f>SUMIFS( E4:E451, D4:D451,"Metabolismo de nutrientes y energía de especies pecuarias",G4:G451,"No")</f>
        <v>5</v>
      </c>
      <c r="AL49" s="5">
        <f>COUNTIFS(   D4:D451,"Metabolismo de nutrientes y energía de especies pecuarias",H4:H451,"Sí")</f>
        <v>0</v>
      </c>
      <c r="AM49" s="5">
        <f>COUNTIFS(   D4:D451,"Metabolismo de nutrientes y energía de especies pecuarias",I4:I451,"Sí")</f>
        <v>1</v>
      </c>
      <c r="AN49" s="5">
        <f>COUNTIFS(   D4:D451,"Metabolismo de nutrientes y energía de especies pecuarias",I4:I451,"No")</f>
        <v>0</v>
      </c>
      <c r="AO49" s="5">
        <f>SUMIFS( E4:E451, D4:D451,"Metabolismo de nutrientes y energía de especies pecuarias",I4:I451,"Sí")</f>
        <v>5</v>
      </c>
      <c r="AP49" s="5">
        <f>SUMIFS( E4:E451, D4:D451,"Metabolismo de nutrientes y energía de especies pecuarias",I4:I451,"No")</f>
        <v>0</v>
      </c>
      <c r="AQ49" s="5">
        <f>COUNTIFS(   D4:D451,"Metabolismo de nutrientes y energía de especies pecuarias",J4:J451,"Sí")</f>
        <v>0</v>
      </c>
      <c r="AR49" s="5">
        <f>COUNTIFS(   D4:D451,"Metabolismo de nutrientes y energía de especies pecuarias",K4:K451,"Sí")</f>
        <v>1</v>
      </c>
      <c r="AS49" s="5">
        <f>COUNTIFS(   D4:D451,"Metabolismo de nutrientes y energía de especies pecuarias",L4:L451,"Sí")</f>
        <v>1</v>
      </c>
      <c r="AT49" s="5">
        <f>SUMIFS( E4:E451, D4:D451,"Metabolismo de nutrientes y energía de especies pecuarias")</f>
        <v>5</v>
      </c>
      <c r="AU49" s="5">
        <f>SUMIFS( E4:E451, F4:F451,"Hombre", D4:D451,"Metabolismo de nutrientes y energía de especies pecuarias")</f>
        <v>0</v>
      </c>
      <c r="AV49" s="5">
        <f>SUMIFS( E4:E451, F4:F451,"Mujer", D4:D451,"Metabolismo de nutrientes y energía de especies pecuarias")</f>
        <v>5</v>
      </c>
      <c r="AW49" s="29">
        <f>SUMIFS( E4:E451, A4:A451,"2013", D4:D451,"Metabolismo de nutrientes y energía de especies pecuarias")</f>
        <v>0</v>
      </c>
      <c r="AX49" s="5">
        <f>SUMIFS( E4:E451, A4:A451,"2014", D4:D451,"Metabolismo de nutrientes y energía de especies pecuarias")</f>
        <v>0</v>
      </c>
      <c r="AY49" s="5">
        <f>SUMIFS( E4:E451, A4:A451,"2015", D4:D451,"Metabolismo de nutrientes y energía de especies pecuarias")</f>
        <v>0</v>
      </c>
      <c r="AZ49" s="5">
        <f>SUMIFS( E4:E451, A4:A451,"2016", D4:D451,"Metabolismo de nutrientes y energía de especies pecuarias")</f>
        <v>0</v>
      </c>
      <c r="BA49" s="5">
        <f>SUMIFS( E4:E451, A4:A451,"2017", D4:D451,"Metabolismo de nutrientes y energía de especies pecuarias")</f>
        <v>5</v>
      </c>
      <c r="BB49" s="29">
        <f>SUMIFS( E4:E451, N4:N451,"2014", D4:D451,"Metabolismo de nutrientes y energía de especies pecuarias")</f>
        <v>0</v>
      </c>
      <c r="BC49" s="5">
        <f>SUMIFS( E4:E451, N4:N451,"2015", D4:D451,"Metabolismo de nutrientes y energía de especies pecuarias")</f>
        <v>0</v>
      </c>
      <c r="BD49" s="5">
        <f>SUMIFS( E4:E451, N4:N451,"2016", D4:D451,"Metabolismo de nutrientes y energía de especies pecuarias")</f>
        <v>0</v>
      </c>
      <c r="BE49" s="5">
        <f>SUMIFS( E4:E451, N4:N451,"2017", D4:D451,"Metabolismo de nutrientes y energía de especies pecuarias")</f>
        <v>5</v>
      </c>
      <c r="BF49" s="5">
        <f>SUMIFS( E4:E451, N4:N451,"2018", D4:D451,"Metabolismo de nutrientes y energía de especies pecuarias")</f>
        <v>0</v>
      </c>
      <c r="BG49" s="23">
        <f>AVERAGEIFS( E4:E451, D4:D451,"Metabolismo de nutrientes y energía de especies pecuarias")</f>
        <v>5</v>
      </c>
      <c r="BH49" s="23">
        <v>0</v>
      </c>
      <c r="BI49" s="23">
        <v>0</v>
      </c>
      <c r="BJ49" s="23">
        <v>0</v>
      </c>
      <c r="BK49" s="23">
        <v>0</v>
      </c>
      <c r="BL49" s="23">
        <f>AVERAGEIFS( E4:E451, A4:A451,"2017", D4:D451,"Metabolismo de nutrientes y energía de especies pecuarias")</f>
        <v>5</v>
      </c>
      <c r="BM49" s="23">
        <v>5</v>
      </c>
      <c r="BN49" s="23">
        <v>0</v>
      </c>
      <c r="BO49" s="23">
        <v>0</v>
      </c>
      <c r="BP49" s="23">
        <v>0</v>
      </c>
      <c r="BQ49" s="23">
        <v>0</v>
      </c>
      <c r="BR49" s="23">
        <v>5</v>
      </c>
    </row>
    <row r="50" spans="1:70" ht="15" customHeight="1" x14ac:dyDescent="0.25">
      <c r="A50">
        <v>2017</v>
      </c>
      <c r="B50" t="s">
        <v>4</v>
      </c>
      <c r="C50" t="s">
        <v>18</v>
      </c>
      <c r="D50" t="s">
        <v>20</v>
      </c>
      <c r="E50">
        <v>5</v>
      </c>
      <c r="F50" t="s">
        <v>211</v>
      </c>
      <c r="G50" t="s">
        <v>233</v>
      </c>
      <c r="H50" t="s">
        <v>233</v>
      </c>
      <c r="I50" t="s">
        <v>234</v>
      </c>
      <c r="J50" t="s">
        <v>234</v>
      </c>
      <c r="K50" t="s">
        <v>233</v>
      </c>
      <c r="L50" t="s">
        <v>234</v>
      </c>
      <c r="M50" s="14">
        <v>43238</v>
      </c>
      <c r="N50" s="14" t="str">
        <f t="shared" si="0"/>
        <v>2018</v>
      </c>
      <c r="O50" s="55" t="s">
        <v>58</v>
      </c>
      <c r="P50" s="56"/>
      <c r="Q50" s="56"/>
      <c r="R50" s="56"/>
      <c r="S50" s="56"/>
      <c r="T50" s="57"/>
      <c r="U50" s="5">
        <f>COUNTIFS(   D4:D451,"Microbiología ambiental")</f>
        <v>3</v>
      </c>
      <c r="V50" s="5">
        <f>COUNTIFS(   D4:D451,"Microbiología ambiental",F4:F451,"Hombre")</f>
        <v>1</v>
      </c>
      <c r="W50" s="5">
        <f>COUNTIFS(   D4:D451,"Microbiología ambiental",F4:F451,"Mujer")</f>
        <v>2</v>
      </c>
      <c r="X50" s="29">
        <f>COUNTIFS(   A4:A451,"2013", D4:D451,"Microbiología ambiental")</f>
        <v>0</v>
      </c>
      <c r="Y50" s="5">
        <f>COUNTIFS(   A4:A451,"2014", D4:D451,"Microbiología ambiental")</f>
        <v>0</v>
      </c>
      <c r="Z50" s="5">
        <f>COUNTIFS(   A4:A451,"2015", D4:D451,"Microbiología ambiental")</f>
        <v>1</v>
      </c>
      <c r="AA50" s="5">
        <f>COUNTIFS(   A4:A451,"2016", D4:D451,"Microbiología ambiental")</f>
        <v>1</v>
      </c>
      <c r="AB50" s="5">
        <f>COUNTIFS(   A4:A451,"2017", D4:D451,"Microbiología ambiental")</f>
        <v>1</v>
      </c>
      <c r="AC50" s="29">
        <f>COUNTIFS(   N4:N451,"2014", D4:D451,"Microbiología ambiental")</f>
        <v>0</v>
      </c>
      <c r="AD50" s="5">
        <f>COUNTIFS(   N4:N451,"2015", D4:D451,"Microbiología ambiental")</f>
        <v>0</v>
      </c>
      <c r="AE50" s="5">
        <f>COUNTIFS(   N4:N451,"2016", D4:D451,"Microbiología ambiental")</f>
        <v>2</v>
      </c>
      <c r="AF50" s="5">
        <f>COUNTIFS(   N4:N451,"2017", D4:D451,"Microbiología ambiental")</f>
        <v>0</v>
      </c>
      <c r="AG50" s="5">
        <f>COUNTIFS(   N4:N451,"2018", D4:D451,"Microbiología ambiental")</f>
        <v>1</v>
      </c>
      <c r="AH50" s="5">
        <f>COUNTIFS(   D4:D451,"Microbiología ambiental",G4:G451,"Sí")</f>
        <v>0</v>
      </c>
      <c r="AI50" s="5">
        <f>COUNTIFS(   D4:D451,"Microbiología ambiental",G4:G451,"No")</f>
        <v>3</v>
      </c>
      <c r="AJ50" s="5">
        <f>SUMIFS( E4:E451, D4:D451,"Microbiología ambiental",G4:G451,"Sí")</f>
        <v>0</v>
      </c>
      <c r="AK50" s="5">
        <f>SUMIFS( E4:E451, D4:D451,"Microbiología ambiental",G4:G451,"No")</f>
        <v>23</v>
      </c>
      <c r="AL50" s="5">
        <f>COUNTIFS(   D4:D451,"Microbiología ambiental",H4:H451,"Sí")</f>
        <v>0</v>
      </c>
      <c r="AM50" s="5">
        <f>COUNTIFS(   D4:D451,"Microbiología ambiental",I4:I451,"Sí")</f>
        <v>2</v>
      </c>
      <c r="AN50" s="5">
        <f>COUNTIFS(   D4:D451,"Microbiología ambiental",I4:I451,"No")</f>
        <v>1</v>
      </c>
      <c r="AO50" s="5">
        <f>SUMIFS( E4:E451, D4:D451,"Microbiología ambiental",I4:I451,"Sí")</f>
        <v>19</v>
      </c>
      <c r="AP50" s="5">
        <f>SUMIFS( E4:E451, D4:D451,"Microbiología ambiental",I4:I451,"No")</f>
        <v>4</v>
      </c>
      <c r="AQ50" s="5">
        <f>COUNTIFS(   D4:D451,"Microbiología ambiental",J4:J451,"Sí")</f>
        <v>3</v>
      </c>
      <c r="AR50" s="5">
        <f>COUNTIFS(   D4:D451,"Microbiología ambiental",K4:K451,"Sí")</f>
        <v>0</v>
      </c>
      <c r="AS50" s="5">
        <f>COUNTIFS(   D4:D451,"Microbiología ambiental",L4:L451,"Sí")</f>
        <v>3</v>
      </c>
      <c r="AT50" s="5">
        <f>SUMIFS( E4:E451, D4:D451,"Microbiología ambiental")</f>
        <v>23</v>
      </c>
      <c r="AU50" s="5">
        <f>SUMIFS( E4:E451, F4:F451,"Hombre", D4:D451,"Microbiología ambiental")</f>
        <v>14</v>
      </c>
      <c r="AV50" s="5">
        <f>SUMIFS( E4:E451, F4:F451,"Mujer", D4:D451,"Microbiología ambiental")</f>
        <v>9</v>
      </c>
      <c r="AW50" s="29">
        <f>SUMIFS( E4:E451, A4:A451,"2013", D4:D451,"Microbiología ambiental")</f>
        <v>0</v>
      </c>
      <c r="AX50" s="5">
        <f>SUMIFS( E4:E451, A4:A451,"2014", D4:D451,"Microbiología ambiental")</f>
        <v>0</v>
      </c>
      <c r="AY50" s="5">
        <f>SUMIFS( E4:E451, A4:A451,"2015", D4:D451,"Microbiología ambiental")</f>
        <v>14</v>
      </c>
      <c r="AZ50" s="5">
        <f>SUMIFS( E4:E451, A4:A451,"2016", D4:D451,"Microbiología ambiental")</f>
        <v>4</v>
      </c>
      <c r="BA50" s="5">
        <f>SUMIFS( E4:E451, A4:A451,"2017", D4:D451,"Microbiología ambiental")</f>
        <v>5</v>
      </c>
      <c r="BB50" s="29">
        <f>SUMIFS( E4:E451, N4:N451,"2014", D4:D451,"Microbiología ambiental")</f>
        <v>0</v>
      </c>
      <c r="BC50" s="5">
        <f>SUMIFS( E4:E451, N4:N451,"2015", D4:D451,"Microbiología ambiental")</f>
        <v>0</v>
      </c>
      <c r="BD50" s="5">
        <f>SUMIFS( E4:E451, N4:N451,"2016", D4:D451,"Microbiología ambiental")</f>
        <v>18</v>
      </c>
      <c r="BE50" s="5">
        <f>SUMIFS( E4:E451, N4:N451,"2017", D4:D451,"Microbiología ambiental")</f>
        <v>0</v>
      </c>
      <c r="BF50" s="5">
        <f>SUMIFS( E4:E451, N4:N451,"2018", D4:D451,"Microbiología ambiental")</f>
        <v>5</v>
      </c>
      <c r="BG50" s="23">
        <f>AVERAGEIFS( E4:E451, D4:D451,"Microbiología ambiental")</f>
        <v>7.666666666666667</v>
      </c>
      <c r="BH50" s="23">
        <v>0</v>
      </c>
      <c r="BI50" s="23">
        <v>0</v>
      </c>
      <c r="BJ50" s="23">
        <f>AVERAGEIFS( E4:E451, A4:A451,"2015", D4:D451,"Microbiología ambiental")</f>
        <v>14</v>
      </c>
      <c r="BK50" s="23">
        <f>AVERAGEIFS( E4:E451, A4:A451,"2016", D4:D451,"Microbiología ambiental")</f>
        <v>4</v>
      </c>
      <c r="BL50" s="23">
        <f>AVERAGEIFS( E4:E451, A4:A451,"2017", D4:D451,"Microbiología ambiental")</f>
        <v>5</v>
      </c>
      <c r="BM50" s="23">
        <v>7.666666666666667</v>
      </c>
      <c r="BN50" s="23">
        <v>0</v>
      </c>
      <c r="BO50" s="23">
        <v>0</v>
      </c>
      <c r="BP50" s="23">
        <v>14</v>
      </c>
      <c r="BQ50" s="23">
        <v>4</v>
      </c>
      <c r="BR50" s="23">
        <v>5</v>
      </c>
    </row>
    <row r="51" spans="1:70" ht="15" customHeight="1" x14ac:dyDescent="0.25">
      <c r="A51">
        <v>2017</v>
      </c>
      <c r="B51" t="s">
        <v>4</v>
      </c>
      <c r="C51" t="s">
        <v>18</v>
      </c>
      <c r="D51" t="s">
        <v>21</v>
      </c>
      <c r="E51">
        <v>14</v>
      </c>
      <c r="F51" t="s">
        <v>211</v>
      </c>
      <c r="G51" t="s">
        <v>233</v>
      </c>
      <c r="H51" t="s">
        <v>233</v>
      </c>
      <c r="I51" t="s">
        <v>233</v>
      </c>
      <c r="J51" t="s">
        <v>234</v>
      </c>
      <c r="K51" t="s">
        <v>233</v>
      </c>
      <c r="L51" t="s">
        <v>234</v>
      </c>
      <c r="M51" s="14">
        <v>43224</v>
      </c>
      <c r="N51" s="14" t="str">
        <f t="shared" si="0"/>
        <v>2018</v>
      </c>
      <c r="O51" s="55" t="s">
        <v>59</v>
      </c>
      <c r="P51" s="56"/>
      <c r="Q51" s="56"/>
      <c r="R51" s="56"/>
      <c r="S51" s="56"/>
      <c r="T51" s="57"/>
      <c r="U51" s="5">
        <f>COUNTIFS(   D4:D451,"Paleontología y Evolución")</f>
        <v>2</v>
      </c>
      <c r="V51" s="5">
        <f>COUNTIFS(   D4:D451,"Paleontología y Evolución",F4:F451,"Hombre")</f>
        <v>1</v>
      </c>
      <c r="W51" s="5">
        <f>COUNTIFS(   D4:D451,"Paleontología y Evolución",F4:F451,"Mujer")</f>
        <v>1</v>
      </c>
      <c r="X51" s="29">
        <f>COUNTIFS(   A4:A451,"2013", D4:D451,"Paleontología y Evolución")</f>
        <v>0</v>
      </c>
      <c r="Y51" s="5">
        <f>COUNTIFS(   A4:A451,"2014", D4:D451,"Paleontología y Evolución")</f>
        <v>0</v>
      </c>
      <c r="Z51" s="5">
        <f>COUNTIFS(   A4:A451,"2015", D4:D451,"Paleontología y Evolución")</f>
        <v>0</v>
      </c>
      <c r="AA51" s="5">
        <f>COUNTIFS(   A4:A451,"2016", D4:D451,"Paleontología y Evolución")</f>
        <v>1</v>
      </c>
      <c r="AB51" s="5">
        <f>COUNTIFS(   A4:A451,"2017", D4:D451,"Paleontología y Evolución")</f>
        <v>1</v>
      </c>
      <c r="AC51" s="29">
        <f>COUNTIFS(   N4:N451,"2014", D4:D451,"Paleontología y Evolución")</f>
        <v>0</v>
      </c>
      <c r="AD51" s="5">
        <f>COUNTIFS(   N4:N451,"2015", D4:D451,"Paleontología y Evolución")</f>
        <v>0</v>
      </c>
      <c r="AE51" s="5">
        <f>COUNTIFS(   N4:N451,"2016", D4:D451,"Paleontología y Evolución")</f>
        <v>1</v>
      </c>
      <c r="AF51" s="5">
        <f>COUNTIFS(   N4:N451,"2017", D4:D451,"Paleontología y Evolución")</f>
        <v>1</v>
      </c>
      <c r="AG51" s="5">
        <f>COUNTIFS(   N4:N451,"2018", D4:D451,"Paleontología y Evolución")</f>
        <v>0</v>
      </c>
      <c r="AH51" s="5">
        <f>COUNTIFS(   D4:D451,"Paleontología y Evolución",G4:G451,"Sí")</f>
        <v>0</v>
      </c>
      <c r="AI51" s="5">
        <f>COUNTIFS(   D4:D451,"Paleontología y Evolución",G4:G451,"No")</f>
        <v>2</v>
      </c>
      <c r="AJ51" s="5">
        <f>SUMIFS( E4:E451, D4:D451,"Paleontología y Evolución",G4:G451,"Sí")</f>
        <v>0</v>
      </c>
      <c r="AK51" s="5">
        <f>SUMIFS( E4:E451, D4:D451,"Paleontología y Evolución",G4:G451,"No")</f>
        <v>21</v>
      </c>
      <c r="AL51" s="5">
        <f>COUNTIFS(   D4:D451,"Paleontología y Evolución",H4:H451,"Sí")</f>
        <v>1</v>
      </c>
      <c r="AM51" s="5">
        <f>COUNTIFS(   D4:D451,"Paleontología y Evolución",I4:I451,"Sí")</f>
        <v>2</v>
      </c>
      <c r="AN51" s="5">
        <f>COUNTIFS(   D4:D451,"Paleontología y Evolución",I4:I451,"No")</f>
        <v>0</v>
      </c>
      <c r="AO51" s="5">
        <f>SUMIFS( E4:E451, D4:D451,"Paleontología y Evolución",I4:I451,"Sí")</f>
        <v>21</v>
      </c>
      <c r="AP51" s="5">
        <f>SUMIFS( E4:E451, D4:D451,"Paleontología y Evolución",I4:I451,"No")</f>
        <v>0</v>
      </c>
      <c r="AQ51" s="5">
        <f>COUNTIFS(   D4:D451,"Paleontología y Evolución",J4:J451,"Sí")</f>
        <v>2</v>
      </c>
      <c r="AR51" s="5">
        <f>COUNTIFS(   D4:D451,"Paleontología y Evolución",K4:K451,"Sí")</f>
        <v>1</v>
      </c>
      <c r="AS51" s="5">
        <f>COUNTIFS(   D4:D451,"Paleontología y Evolución",L4:L451,"Sí")</f>
        <v>2</v>
      </c>
      <c r="AT51" s="5">
        <f>SUMIFS( E4:E451, D4:D451,"Paleontología y Evolución")</f>
        <v>21</v>
      </c>
      <c r="AU51" s="5">
        <f>SUMIFS( E4:E451, F4:F451,"Hombre", D4:D451,"Paleontología y Evolución")</f>
        <v>10</v>
      </c>
      <c r="AV51" s="5">
        <f>SUMIFS( E4:E451, F4:F451,"Mujer", D4:D451,"Paleontología y Evolución")</f>
        <v>11</v>
      </c>
      <c r="AW51" s="29">
        <f>SUMIFS( E4:E451, A4:A451,"2013", D4:D451,"Paleontología y Evolución")</f>
        <v>0</v>
      </c>
      <c r="AX51" s="5">
        <f>SUMIFS( E4:E451, A4:A451,"2014", D4:D451,"Paleontología y Evolución")</f>
        <v>0</v>
      </c>
      <c r="AY51" s="5">
        <f>SUMIFS( E4:E451, A4:A451,"2015", D4:D451,"Paleontología y Evolución")</f>
        <v>0</v>
      </c>
      <c r="AZ51" s="5">
        <f>SUMIFS( E4:E451, A4:A451,"2016", D4:D451,"Paleontología y Evolución")</f>
        <v>11</v>
      </c>
      <c r="BA51" s="5">
        <f>SUMIFS( E4:E451, A4:A451,"2017", D4:D451,"Paleontología y Evolución")</f>
        <v>10</v>
      </c>
      <c r="BB51" s="29">
        <f>SUMIFS( E4:E451, N4:N451,"2014", D4:D451,"Paleontología y Evolución")</f>
        <v>0</v>
      </c>
      <c r="BC51" s="5">
        <f>SUMIFS( E4:E451, N4:N451,"2015", D4:D451,"Paleontología y Evolución")</f>
        <v>0</v>
      </c>
      <c r="BD51" s="5">
        <f>SUMIFS( E4:E451, N4:N451,"2016", D4:D451,"Paleontología y Evolución")</f>
        <v>11</v>
      </c>
      <c r="BE51" s="5">
        <f>SUMIFS( E4:E451, N4:N451,"2017", D4:D451,"Paleontología y Evolución")</f>
        <v>10</v>
      </c>
      <c r="BF51" s="5">
        <f>SUMIFS( E4:E451, N4:N451,"2018", D4:D451,"Paleontología y Evolución")</f>
        <v>0</v>
      </c>
      <c r="BG51" s="23">
        <f>AVERAGEIFS( E4:E451, D4:D451,"Paleontología y Evolución")</f>
        <v>10.5</v>
      </c>
      <c r="BH51" s="23">
        <v>0</v>
      </c>
      <c r="BI51" s="23">
        <v>0</v>
      </c>
      <c r="BJ51" s="23">
        <v>0</v>
      </c>
      <c r="BK51" s="23">
        <f>AVERAGEIFS( E4:E451, A4:A451,"2016", D4:D451,"Paleontología y Evolución")</f>
        <v>11</v>
      </c>
      <c r="BL51" s="23">
        <f>AVERAGEIFS( E4:E451, A4:A451,"2017", D4:D451,"Paleontología y Evolución")</f>
        <v>10</v>
      </c>
      <c r="BM51" s="23">
        <v>10.5</v>
      </c>
      <c r="BN51" s="23">
        <v>0</v>
      </c>
      <c r="BO51" s="23">
        <v>0</v>
      </c>
      <c r="BP51" s="23">
        <v>0</v>
      </c>
      <c r="BQ51" s="23">
        <v>11</v>
      </c>
      <c r="BR51" s="23">
        <v>10</v>
      </c>
    </row>
    <row r="52" spans="1:70" ht="15" customHeight="1" x14ac:dyDescent="0.25">
      <c r="A52">
        <v>2017</v>
      </c>
      <c r="B52" t="s">
        <v>4</v>
      </c>
      <c r="C52" t="s">
        <v>18</v>
      </c>
      <c r="D52" t="s">
        <v>22</v>
      </c>
      <c r="E52" s="17">
        <v>10</v>
      </c>
      <c r="F52" t="s">
        <v>211</v>
      </c>
      <c r="G52" t="s">
        <v>233</v>
      </c>
      <c r="H52" t="s">
        <v>233</v>
      </c>
      <c r="I52" t="s">
        <v>233</v>
      </c>
      <c r="J52" t="s">
        <v>234</v>
      </c>
      <c r="K52" t="s">
        <v>233</v>
      </c>
      <c r="L52" t="s">
        <v>234</v>
      </c>
      <c r="M52" s="14">
        <v>43196</v>
      </c>
      <c r="N52" s="14" t="str">
        <f t="shared" si="0"/>
        <v>2018</v>
      </c>
      <c r="O52" s="6" t="s">
        <v>60</v>
      </c>
      <c r="P52" s="7"/>
      <c r="Q52" s="7"/>
      <c r="R52" s="7"/>
      <c r="S52" s="7"/>
      <c r="T52" s="8"/>
      <c r="U52" s="4">
        <f>COUNTIFS(   C4:C451,"Ciencias de la Tierra")</f>
        <v>8</v>
      </c>
      <c r="V52" s="4">
        <f>COUNTIFS(   C4:C451,"Ciencias de la Tierra",F4:F451,"Hombre")</f>
        <v>4</v>
      </c>
      <c r="W52" s="4">
        <f>COUNTIFS(   C4:C451,"Ciencias de la Tierra",F4:F451,"Mujer")</f>
        <v>4</v>
      </c>
      <c r="X52" s="28">
        <f>COUNTIFS(   A4:A451,"2013", C4:C451,"Ciencias de la Tierra")</f>
        <v>0</v>
      </c>
      <c r="Y52" s="4">
        <f>COUNTIFS(   A4:A451,"2014", C4:C451,"Ciencias de la Tierra")</f>
        <v>0</v>
      </c>
      <c r="Z52" s="4">
        <f>COUNTIFS(   A4:A451,"2015", C4:C451,"Ciencias de la Tierra")</f>
        <v>1</v>
      </c>
      <c r="AA52" s="4">
        <f>COUNTIFS(   A4:A451,"2016", C4:C451,"Ciencias de la Tierra")</f>
        <v>2</v>
      </c>
      <c r="AB52" s="4">
        <f>COUNTIFS(   A4:A451,"2017", C4:C451,"Ciencias de la Tierra")</f>
        <v>5</v>
      </c>
      <c r="AC52" s="28">
        <f>COUNTIFS(   N4:N451,"2014", C4:C451,"Ciencias de la Tierra")</f>
        <v>0</v>
      </c>
      <c r="AD52" s="4">
        <f>COUNTIFS(   N4:N451,"2015", C4:C451,"Ciencias de la Tierra")</f>
        <v>0</v>
      </c>
      <c r="AE52" s="4">
        <f>COUNTIFS(   N4:N451,"2016", C4:C451,"Ciencias de la Tierra")</f>
        <v>1</v>
      </c>
      <c r="AF52" s="4">
        <f>COUNTIFS(   N4:N451,"2017", C4:C451,"Ciencias de la Tierra")</f>
        <v>4</v>
      </c>
      <c r="AG52" s="4">
        <f>COUNTIFS(   N4:N451,"2018", C4:C451,"Ciencias de la Tierra")</f>
        <v>3</v>
      </c>
      <c r="AH52" s="4">
        <f>COUNTIFS(   C4:C451,"Ciencias de la Tierra",G4:G451,"Sí")</f>
        <v>1</v>
      </c>
      <c r="AI52" s="4">
        <f>COUNTIFS(   C4:C451,"Ciencias de la Tierra",G4:G451,"No")</f>
        <v>7</v>
      </c>
      <c r="AJ52" s="4">
        <f>SUMIFS( E4:E451, C4:C451,"Ciencias de la Tierra",G4:G451,"Sí")</f>
        <v>4</v>
      </c>
      <c r="AK52" s="4">
        <f>SUMIFS( E4:E451, C4:C451,"Ciencias de la Tierra",G4:G451,"No")</f>
        <v>43</v>
      </c>
      <c r="AL52" s="4">
        <f>COUNTIFS(   C4:C451,"Ciencias de la Tierra",H4:H451,"Sí")</f>
        <v>1</v>
      </c>
      <c r="AM52" s="4">
        <f>COUNTIFS(   C4:C451,"Ciencias de la Tierra",I4:I451,"Sí")</f>
        <v>5</v>
      </c>
      <c r="AN52" s="4">
        <f>COUNTIFS(   C4:C451,"Ciencias de la Tierra",I4:I451,"No")</f>
        <v>3</v>
      </c>
      <c r="AO52" s="4">
        <f>SUMIFS( E4:E451, C4:C451,"Ciencias de la Tierra",I4:I451,"Sí")</f>
        <v>35</v>
      </c>
      <c r="AP52" s="4">
        <f>SUMIFS( E4:E451, C4:C451,"Ciencias de la Tierra",I4:I451,"No")</f>
        <v>12</v>
      </c>
      <c r="AQ52" s="4">
        <f>COUNTIFS(   C4:C451,"Ciencias de la Tierra",J4:J451,"Sí")</f>
        <v>6</v>
      </c>
      <c r="AR52" s="4">
        <f>COUNTIFS(   C4:C451,"Ciencias de la Tierra",K4:K451,"Sí")</f>
        <v>5</v>
      </c>
      <c r="AS52" s="4">
        <f>COUNTIFS(   C4:C451,"Ciencias de la Tierra",L4:L451,"Sí")</f>
        <v>7</v>
      </c>
      <c r="AT52" s="4">
        <f>SUMIFS( E4:E451, C4:C451,"Ciencias de la Tierra")</f>
        <v>47</v>
      </c>
      <c r="AU52" s="4">
        <f>SUMIFS( E4:E451, F4:F451,"Hombre", C4:C451,"Ciencias de la Tierra")</f>
        <v>29</v>
      </c>
      <c r="AV52" s="4">
        <f>SUMIFS( E4:E451, F4:F451,"Mujer", C4:C451,"Ciencias de la Tierra")</f>
        <v>18</v>
      </c>
      <c r="AW52" s="28">
        <f>SUMIFS( E4:E451, A4:A451,"2013", C4:C451,"Ciencias de la Tierra")</f>
        <v>0</v>
      </c>
      <c r="AX52" s="4">
        <f>SUMIFS( E4:E451, A4:A451,"2014", C4:C451,"Ciencias de la Tierra")</f>
        <v>0</v>
      </c>
      <c r="AY52" s="4">
        <f>SUMIFS( E4:E451, A4:A451,"2015", C4:C451,"Ciencias de la Tierra")</f>
        <v>4</v>
      </c>
      <c r="AZ52" s="4">
        <f>SUMIFS( E4:E451, A4:A451,"2016", C4:C451,"Ciencias de la Tierra")</f>
        <v>8</v>
      </c>
      <c r="BA52" s="4">
        <f>SUMIFS( E4:E451, A4:A451,"2017", C4:C451,"Ciencias de la Tierra")</f>
        <v>35</v>
      </c>
      <c r="BB52" s="28">
        <f>SUMIFS( E4:E451, N4:N451,"2014", C4:C451,"Ciencias de la Tierra")</f>
        <v>0</v>
      </c>
      <c r="BC52" s="4">
        <f>SUMIFS( E4:E451, N4:N451,"2015", C4:C451,"Ciencias de la Tierra")</f>
        <v>0</v>
      </c>
      <c r="BD52" s="4">
        <f>SUMIFS( E4:E451, N4:N451,"2016", C4:C451,"Ciencias de la Tierra")</f>
        <v>4</v>
      </c>
      <c r="BE52" s="4">
        <f>SUMIFS( E4:E451, N4:N451,"2017", C4:C451,"Ciencias de la Tierra")</f>
        <v>30</v>
      </c>
      <c r="BF52" s="4">
        <f>SUMIFS( E4:E451, N4:N451,"2018", C4:C451,"Ciencias de la Tierra")</f>
        <v>13</v>
      </c>
      <c r="BG52" s="22">
        <f>AVERAGEIFS( E4:E451, C4:C451,"Ciencias de la Tierra")</f>
        <v>5.875</v>
      </c>
      <c r="BH52" s="22">
        <v>0</v>
      </c>
      <c r="BI52" s="22">
        <v>0</v>
      </c>
      <c r="BJ52" s="22">
        <f>AVERAGEIFS( E4:E451, A4:A451,"2015", C4:C451,"Ciencias de la Tierra")</f>
        <v>4</v>
      </c>
      <c r="BK52" s="22">
        <f>AVERAGEIFS( E4:E451, A4:A451,"2016", C4:C451,"Ciencias de la Tierra")</f>
        <v>4</v>
      </c>
      <c r="BL52" s="22">
        <f>AVERAGEIFS( E4:E451, A4:A451,"2017", C4:C451,"Ciencias de la Tierra")</f>
        <v>7</v>
      </c>
      <c r="BM52" s="22">
        <f>AVERAGE(AT53:AT59)</f>
        <v>6.7142857142857144</v>
      </c>
      <c r="BN52" s="22">
        <v>0</v>
      </c>
      <c r="BO52" s="22">
        <v>0</v>
      </c>
      <c r="BP52" s="22">
        <f>AVERAGE(AY53:AY59)</f>
        <v>0.5714285714285714</v>
      </c>
      <c r="BQ52" s="22">
        <f>AVERAGE(AZ53:AZ59)</f>
        <v>1.1428571428571428</v>
      </c>
      <c r="BR52" s="22">
        <f>AVERAGE(BA53:BA59)</f>
        <v>5</v>
      </c>
    </row>
    <row r="53" spans="1:70" ht="15" customHeight="1" x14ac:dyDescent="0.25">
      <c r="A53">
        <v>2017</v>
      </c>
      <c r="B53" t="s">
        <v>4</v>
      </c>
      <c r="C53" t="s">
        <v>18</v>
      </c>
      <c r="D53" t="s">
        <v>20</v>
      </c>
      <c r="E53">
        <v>3</v>
      </c>
      <c r="F53" t="s">
        <v>215</v>
      </c>
      <c r="G53" t="s">
        <v>233</v>
      </c>
      <c r="H53" t="s">
        <v>233</v>
      </c>
      <c r="I53" t="s">
        <v>233</v>
      </c>
      <c r="J53" t="s">
        <v>234</v>
      </c>
      <c r="K53" t="s">
        <v>233</v>
      </c>
      <c r="L53" t="s">
        <v>234</v>
      </c>
      <c r="M53" s="14">
        <v>43168</v>
      </c>
      <c r="N53" s="14" t="str">
        <f t="shared" si="0"/>
        <v>2018</v>
      </c>
      <c r="O53" s="55" t="s">
        <v>82</v>
      </c>
      <c r="P53" s="56"/>
      <c r="Q53" s="56"/>
      <c r="R53" s="56"/>
      <c r="S53" s="56"/>
      <c r="T53" s="57"/>
      <c r="U53" s="5">
        <f>COUNTIFS(   D4:D451,"Geología aplicada a la obra civil y riesgo geológico")</f>
        <v>1</v>
      </c>
      <c r="V53" s="5">
        <f>COUNTIFS(   D4:D451,"Geología aplicada a la obra civil y riesgo geológico",F4:F451,"Hombre")</f>
        <v>1</v>
      </c>
      <c r="W53" s="5">
        <f>COUNTIFS(   D4:D451,"Geología aplicada a la obra civil y riesgo geológico",F4:F451,"Mujer")</f>
        <v>0</v>
      </c>
      <c r="X53" s="29">
        <f>COUNTIFS(   A4:A451,"2013", D4:D451,"Geología aplicada a la obra civil y riesgo geológico")</f>
        <v>0</v>
      </c>
      <c r="Y53" s="5">
        <f>COUNTIFS(   A4:A451,"2014", D4:D451,"Geología aplicada a la obra civil y riesgo geológico")</f>
        <v>0</v>
      </c>
      <c r="Z53" s="5">
        <f>COUNTIFS(   A4:A451,"2015", D4:D451,"Geología aplicada a la obra civil y riesgo geológico")</f>
        <v>0</v>
      </c>
      <c r="AA53" s="5">
        <f>COUNTIFS(   A4:A451,"2016", D4:D451,"Geología aplicada a la obra civil y riesgo geológico")</f>
        <v>0</v>
      </c>
      <c r="AB53" s="5">
        <f>COUNTIFS(   A4:A451,"2017", D4:D451,"Geología aplicada a la obra civil y riesgo geológico")</f>
        <v>1</v>
      </c>
      <c r="AC53" s="29">
        <f>COUNTIFS(   N4:N451,"2014", D4:D451,"Geología aplicada a la obra civil y riesgo geológico")</f>
        <v>0</v>
      </c>
      <c r="AD53" s="5">
        <f>COUNTIFS(   N4:N451,"2015", D4:D451,"Geología aplicada a la obra civil y riesgo geológico")</f>
        <v>0</v>
      </c>
      <c r="AE53" s="5">
        <f>COUNTIFS(   N4:N451,"2016", D4:D451,"Geología aplicada a la obra civil y riesgo geológico")</f>
        <v>0</v>
      </c>
      <c r="AF53" s="5">
        <f>COUNTIFS(   N4:N451,"2017", D4:D451,"Geología aplicada a la obra civil y riesgo geológico")</f>
        <v>0</v>
      </c>
      <c r="AG53" s="5">
        <f>COUNTIFS(   N4:N451,"2018", D4:D451,"Geología aplicada a la obra civil y riesgo geológico")</f>
        <v>1</v>
      </c>
      <c r="AH53" s="5">
        <f>COUNTIFS(   D4:D451,"Geología aplicada a la obra civil y riesgo geológico",G4:G451,"Sí")</f>
        <v>0</v>
      </c>
      <c r="AI53" s="5">
        <f>COUNTIFS(   D4:D451,"Geología aplicada a la obra civil y riesgo geológico",G4:G451,"No")</f>
        <v>1</v>
      </c>
      <c r="AJ53" s="5">
        <f>SUMIFS( E4:E451, D4:D451,"Geología aplicada a la obra civil y riesgo geológico",G4:G451,"Sí")</f>
        <v>0</v>
      </c>
      <c r="AK53" s="5">
        <f>SUMIFS( E4:E451, D4:D451,"Geología aplicada a la obra civil y riesgo geológico",G4:G451,"No")</f>
        <v>4</v>
      </c>
      <c r="AL53" s="5">
        <f>COUNTIFS(   D4:D451,"Geología aplicada a la obra civil y riesgo geológico",H4:H451,"Sí")</f>
        <v>0</v>
      </c>
      <c r="AM53" s="5">
        <f>COUNTIFS(   D4:D451,"Geología aplicada a la obra civil y riesgo geológico",I4:I451,"Sí")</f>
        <v>0</v>
      </c>
      <c r="AN53" s="5">
        <f>COUNTIFS(   D4:D451,"Geología aplicada a la obra civil y riesgo geológico",I4:I451,"No")</f>
        <v>1</v>
      </c>
      <c r="AO53" s="5">
        <f>SUMIFS( E4:E451, D4:D451,"Geología aplicada a la obra civil y riesgo geológico",I4:I451,"Sí")</f>
        <v>0</v>
      </c>
      <c r="AP53" s="5">
        <f>SUMIFS( E4:E451, D4:D451,"Geología aplicada a la obra civil y riesgo geológico",I4:I451,"No")</f>
        <v>4</v>
      </c>
      <c r="AQ53" s="5">
        <f>COUNTIFS(   D4:D451,"Geología aplicada a la obra civil y riesgo geológico",J4:J451,"Sí")</f>
        <v>1</v>
      </c>
      <c r="AR53" s="5">
        <f>COUNTIFS(   D4:D451,"Geología aplicada a la obra civil y riesgo geológico",K4:K451,"Sí")</f>
        <v>0</v>
      </c>
      <c r="AS53" s="5">
        <f>COUNTIFS(   D4:D451,"Geología aplicada a la obra civil y riesgo geológico",L4:L451,"Sí")</f>
        <v>1</v>
      </c>
      <c r="AT53" s="5">
        <f>SUMIFS( E4:E451, D4:D451,"Geología aplicada a la obra civil y riesgo geológico")</f>
        <v>4</v>
      </c>
      <c r="AU53" s="5">
        <f>SUMIFS( E4:E451, F4:F451,"Hombre", D4:D451,"Geología aplicada a la obra civil y riesgo geológico")</f>
        <v>4</v>
      </c>
      <c r="AV53" s="5">
        <f>SUMIFS( E4:E451, F4:F451,"Mujer", D4:D451,"Geología aplicada a la obra civil y riesgo geológico")</f>
        <v>0</v>
      </c>
      <c r="AW53" s="29">
        <f>SUMIFS( E4:E451, A4:A451,"2013", D4:D451,"Geología aplicada a la obra civil y riesgo geológico")</f>
        <v>0</v>
      </c>
      <c r="AX53" s="5">
        <f>SUMIFS( E4:E451, A4:A451,"2014", D4:D451,"Geología aplicada a la obra civil y riesgo geológico")</f>
        <v>0</v>
      </c>
      <c r="AY53" s="5">
        <f>SUMIFS( E4:E451, A4:A451,"2015", D4:D451,"Geología aplicada a la obra civil y riesgo geológico")</f>
        <v>0</v>
      </c>
      <c r="AZ53" s="5">
        <f>SUMIFS( E4:E451, A4:A451,"2016", D4:D451,"Geología aplicada a la obra civil y riesgo geológico")</f>
        <v>0</v>
      </c>
      <c r="BA53" s="5">
        <f>SUMIFS( E4:E451, A4:A451,"2017", D4:D451,"Geología aplicada a la obra civil y riesgo geológico")</f>
        <v>4</v>
      </c>
      <c r="BB53" s="29">
        <f>SUMIFS( E4:E451, N4:N451,"2014", D4:D451,"Geología aplicada a la obra civil y riesgo geológico")</f>
        <v>0</v>
      </c>
      <c r="BC53" s="5">
        <f>SUMIFS( E4:E451, N4:N451,"2015", D4:D451,"Geología aplicada a la obra civil y riesgo geológico")</f>
        <v>0</v>
      </c>
      <c r="BD53" s="5">
        <f>SUMIFS( E4:E451, N4:N451,"2016", D4:D451,"Geología aplicada a la obra civil y riesgo geológico")</f>
        <v>0</v>
      </c>
      <c r="BE53" s="5">
        <f>SUMIFS( E4:E451, N4:N451,"2017", D4:D451,"Geología aplicada a la obra civil y riesgo geológico")</f>
        <v>0</v>
      </c>
      <c r="BF53" s="5">
        <f>SUMIFS( E4:E451, N4:N451,"2018", D4:D451,"Geología aplicada a la obra civil y riesgo geológico")</f>
        <v>4</v>
      </c>
      <c r="BG53" s="23">
        <f>AVERAGEIFS( E4:E451, D4:D451,"Geología aplicada a la obra civil y riesgo geológico")</f>
        <v>4</v>
      </c>
      <c r="BH53" s="23">
        <v>0</v>
      </c>
      <c r="BI53" s="23">
        <v>0</v>
      </c>
      <c r="BJ53" s="23">
        <v>0</v>
      </c>
      <c r="BK53" s="23">
        <v>0</v>
      </c>
      <c r="BL53" s="23">
        <f>AVERAGEIFS( E4:E451, A4:A451,"2017", D4:D451,"Geología aplicada a la obra civil y riesgo geológico")</f>
        <v>4</v>
      </c>
      <c r="BM53" s="23">
        <v>4</v>
      </c>
      <c r="BN53" s="23">
        <v>0</v>
      </c>
      <c r="BO53" s="23">
        <v>0</v>
      </c>
      <c r="BP53" s="23">
        <v>0</v>
      </c>
      <c r="BQ53" s="23">
        <v>0</v>
      </c>
      <c r="BR53" s="23">
        <v>4</v>
      </c>
    </row>
    <row r="54" spans="1:70" ht="15" customHeight="1" x14ac:dyDescent="0.25">
      <c r="A54">
        <v>2017</v>
      </c>
      <c r="B54" t="s">
        <v>4</v>
      </c>
      <c r="C54" t="s">
        <v>18</v>
      </c>
      <c r="D54" t="s">
        <v>22</v>
      </c>
      <c r="E54" s="17">
        <v>7</v>
      </c>
      <c r="F54" t="s">
        <v>215</v>
      </c>
      <c r="G54" t="s">
        <v>233</v>
      </c>
      <c r="H54" t="s">
        <v>233</v>
      </c>
      <c r="I54" t="s">
        <v>233</v>
      </c>
      <c r="J54" t="s">
        <v>234</v>
      </c>
      <c r="K54" t="s">
        <v>234</v>
      </c>
      <c r="L54" t="s">
        <v>234</v>
      </c>
      <c r="M54" s="14">
        <v>43126</v>
      </c>
      <c r="N54" s="14" t="str">
        <f t="shared" si="0"/>
        <v>2018</v>
      </c>
      <c r="O54" s="55" t="s">
        <v>81</v>
      </c>
      <c r="P54" s="56"/>
      <c r="Q54" s="56"/>
      <c r="R54" s="56"/>
      <c r="S54" s="56"/>
      <c r="T54" s="57"/>
      <c r="U54" s="5">
        <f>COUNTIFS(   D4:D451,"Geología estructural y Tectónica")</f>
        <v>1</v>
      </c>
      <c r="V54" s="5">
        <f>COUNTIFS(   D4:D451,"Geología estructural y Tectónica",F4:F451,"Hombre")</f>
        <v>1</v>
      </c>
      <c r="W54" s="5">
        <f>COUNTIFS(   D4:D451,"Geología estructural y Tectónica",F4:F451,"Mujer")</f>
        <v>0</v>
      </c>
      <c r="X54" s="29">
        <f>COUNTIFS(   A4:A451,"2013", D4:D451,"Geología estructural y Tectónica")</f>
        <v>0</v>
      </c>
      <c r="Y54" s="5">
        <f>COUNTIFS(   A4:A451,"2014", D4:D451,"Geología estructural y Tectónica")</f>
        <v>0</v>
      </c>
      <c r="Z54" s="5">
        <f>COUNTIFS(   A4:A451,"2015", D4:D451,"Geología estructural y Tectónica")</f>
        <v>0</v>
      </c>
      <c r="AA54" s="5">
        <f>COUNTIFS(   A4:A451,"2016", D4:D451,"Geología estructural y Tectónica")</f>
        <v>0</v>
      </c>
      <c r="AB54" s="5">
        <f>COUNTIFS(   A4:A451,"2017", D4:D451,"Geología estructural y Tectónica")</f>
        <v>1</v>
      </c>
      <c r="AC54" s="29">
        <f>COUNTIFS(   N4:N451,"2014", D4:D451,"Geología estructural y Tectónica")</f>
        <v>0</v>
      </c>
      <c r="AD54" s="5">
        <f>COUNTIFS(   N4:N451,"2015", D4:D451,"Geología estructural y Tectónica")</f>
        <v>0</v>
      </c>
      <c r="AE54" s="5">
        <f>COUNTIFS(   N4:N451,"2016", D4:D451,"Geología estructural y Tectónica")</f>
        <v>0</v>
      </c>
      <c r="AF54" s="5">
        <f>COUNTIFS(   N4:N451,"2017", D4:D451,"Geología estructural y Tectónica")</f>
        <v>0</v>
      </c>
      <c r="AG54" s="5">
        <f>COUNTIFS(   N4:N451,"2018", D4:D451,"Geología estructural y Tectónica")</f>
        <v>1</v>
      </c>
      <c r="AH54" s="5">
        <f>COUNTIFS(   D4:D451,"Geología estructural y Tectónica",G4:G451,"Sí")</f>
        <v>0</v>
      </c>
      <c r="AI54" s="5">
        <f>COUNTIFS(   D4:D451,"Geología estructural y Tectónica",G4:G451,"No")</f>
        <v>1</v>
      </c>
      <c r="AJ54" s="5">
        <f>SUMIFS( E4:E451, D4:D451,"Geología estructural y Tectónica",G4:G451,"Sí")</f>
        <v>0</v>
      </c>
      <c r="AK54" s="5">
        <f>SUMIFS( E4:E451, D4:D451,"Geología estructural y Tectónica",G4:G451,"No")</f>
        <v>4</v>
      </c>
      <c r="AL54" s="5">
        <f>COUNTIFS(   D4:D451,"Geología estructural y Tectónica",H4:H451,"Sí")</f>
        <v>0</v>
      </c>
      <c r="AM54" s="5">
        <f>COUNTIFS(   D4:D451,"Geología estructural y Tectónica",I4:I451,"Sí")</f>
        <v>0</v>
      </c>
      <c r="AN54" s="5">
        <f>COUNTIFS(   D4:D451,"Geología estructural y Tectónica",I4:I451,"No")</f>
        <v>1</v>
      </c>
      <c r="AO54" s="5">
        <f>SUMIFS( E4:E451, D4:D451,"Geología estructural y Tectónica",I4:I451,"Sí")</f>
        <v>0</v>
      </c>
      <c r="AP54" s="5">
        <f>SUMIFS( E4:E451, D4:D451,"Geología estructural y Tectónica",I4:I451,"No")</f>
        <v>4</v>
      </c>
      <c r="AQ54" s="5">
        <f>COUNTIFS(   D4:D451,"Geología estructural y Tectónica",J4:J451,"Sí")</f>
        <v>0</v>
      </c>
      <c r="AR54" s="5">
        <f>COUNTIFS(   D4:D451,"Geología estructural y Tectónica",K4:K451,"Sí")</f>
        <v>0</v>
      </c>
      <c r="AS54" s="5">
        <f>COUNTIFS(   D4:D451,"Geología estructural y Tectónica",L4:L451,"Sí")</f>
        <v>0</v>
      </c>
      <c r="AT54" s="5">
        <f>SUMIFS( E4:E451, D4:D451,"Geología estructural y Tectónica")</f>
        <v>4</v>
      </c>
      <c r="AU54" s="5">
        <f>SUMIFS( E4:E451, F4:F451,"Hombre", D4:D451,"Geología estructural y Tectónica")</f>
        <v>4</v>
      </c>
      <c r="AV54" s="5">
        <f>SUMIFS( E4:E451, F4:F451,"Mujer", D4:D451,"Geología estructural y Tectónica")</f>
        <v>0</v>
      </c>
      <c r="AW54" s="29">
        <f>SUMIFS( E4:E451, A4:A451,"2013", D4:D451,"Geología estructural y Tectónica")</f>
        <v>0</v>
      </c>
      <c r="AX54" s="5">
        <f>SUMIFS( E4:E451, A4:A451,"2014", D4:D451,"Geología estructural y Tectónica")</f>
        <v>0</v>
      </c>
      <c r="AY54" s="5">
        <f>SUMIFS( E4:E451, A4:A451,"2015", D4:D451,"Geología estructural y Tectónica")</f>
        <v>0</v>
      </c>
      <c r="AZ54" s="5">
        <f>SUMIFS( E4:E451, A4:A451,"2016", D4:D451,"Geología estructural y Tectónica")</f>
        <v>0</v>
      </c>
      <c r="BA54" s="5">
        <f>SUMIFS( E4:E451, A4:A451,"2017", D4:D451,"Geología estructural y Tectónica")</f>
        <v>4</v>
      </c>
      <c r="BB54" s="29">
        <f>SUMIFS( E4:E451, N4:N451,"2014", D4:D451,"Geología estructural y Tectónica")</f>
        <v>0</v>
      </c>
      <c r="BC54" s="5">
        <f>SUMIFS( E4:E451, N4:N451,"2015", D4:D451,"Geología estructural y Tectónica")</f>
        <v>0</v>
      </c>
      <c r="BD54" s="5">
        <f>SUMIFS( E4:E451, N4:N451,"2016", D4:D451,"Geología estructural y Tectónica")</f>
        <v>0</v>
      </c>
      <c r="BE54" s="5">
        <f>SUMIFS( E4:E451, N4:N451,"2017", D4:D451,"Geología estructural y Tectónica")</f>
        <v>0</v>
      </c>
      <c r="BF54" s="5">
        <f>SUMIFS( E4:E451, N4:N451,"2018", D4:D451,"Geología estructural y Tectónica")</f>
        <v>4</v>
      </c>
      <c r="BG54" s="23">
        <f>AVERAGEIFS( E4:E451, D4:D451,"Geología estructural y Tectónica")</f>
        <v>4</v>
      </c>
      <c r="BH54" s="23">
        <v>0</v>
      </c>
      <c r="BI54" s="23">
        <v>0</v>
      </c>
      <c r="BJ54" s="23">
        <v>0</v>
      </c>
      <c r="BK54" s="23">
        <v>0</v>
      </c>
      <c r="BL54" s="23">
        <f>AVERAGEIFS( E4:E451, A4:A451,"2017", D4:D451,"Geología estructural y Tectónica")</f>
        <v>4</v>
      </c>
      <c r="BM54" s="23">
        <v>4</v>
      </c>
      <c r="BN54" s="23">
        <v>0</v>
      </c>
      <c r="BO54" s="23">
        <v>0</v>
      </c>
      <c r="BP54" s="23">
        <v>0</v>
      </c>
      <c r="BQ54" s="23">
        <v>0</v>
      </c>
      <c r="BR54" s="23">
        <v>4</v>
      </c>
    </row>
    <row r="55" spans="1:70" ht="15" customHeight="1" x14ac:dyDescent="0.25">
      <c r="A55">
        <v>2017</v>
      </c>
      <c r="B55" t="s">
        <v>4</v>
      </c>
      <c r="C55" t="s">
        <v>18</v>
      </c>
      <c r="D55" t="s">
        <v>22</v>
      </c>
      <c r="E55">
        <v>1</v>
      </c>
      <c r="F55" t="s">
        <v>211</v>
      </c>
      <c r="G55" t="s">
        <v>233</v>
      </c>
      <c r="H55" t="s">
        <v>233</v>
      </c>
      <c r="I55" t="s">
        <v>233</v>
      </c>
      <c r="J55" t="s">
        <v>234</v>
      </c>
      <c r="K55" t="s">
        <v>234</v>
      </c>
      <c r="L55" t="s">
        <v>234</v>
      </c>
      <c r="M55" s="14">
        <v>43074</v>
      </c>
      <c r="N55" s="14" t="str">
        <f t="shared" si="0"/>
        <v>2017</v>
      </c>
      <c r="O55" s="55" t="s">
        <v>84</v>
      </c>
      <c r="P55" s="56"/>
      <c r="Q55" s="56"/>
      <c r="R55" s="56"/>
      <c r="S55" s="56"/>
      <c r="T55" s="57"/>
      <c r="U55" s="5">
        <f>COUNTIFS(   D4:D451,"Geoquímica")</f>
        <v>1</v>
      </c>
      <c r="V55" s="5">
        <f>COUNTIFS(   D4:D451,"Geoquímica",F4:F451,"Hombre")</f>
        <v>0</v>
      </c>
      <c r="W55" s="5">
        <f>COUNTIFS(   D4:D451,"Geoquímica",F4:F451,"Mujer")</f>
        <v>1</v>
      </c>
      <c r="X55" s="29">
        <f>COUNTIFS(   A4:A451,"2013", D4:D451,"Geoquímica")</f>
        <v>0</v>
      </c>
      <c r="Y55" s="5">
        <f>COUNTIFS(   A4:A451,"2014", D4:D451,"Geoquímica")</f>
        <v>0</v>
      </c>
      <c r="Z55" s="5">
        <f>COUNTIFS(   A4:A451,"2015", D4:D451,"Geoquímica")</f>
        <v>0</v>
      </c>
      <c r="AA55" s="5">
        <f>COUNTIFS(   A4:A451,"2016", D4:D451,"Geoquímica")</f>
        <v>0</v>
      </c>
      <c r="AB55" s="5">
        <f>COUNTIFS(   A4:A451,"2017", D4:D451,"Geoquímica")</f>
        <v>1</v>
      </c>
      <c r="AC55" s="29">
        <f>COUNTIFS(   N4:N451,"2014", D4:D451,"Geoquímica")</f>
        <v>0</v>
      </c>
      <c r="AD55" s="5">
        <f>COUNTIFS(   N4:N451,"2015", D4:D451,"Geoquímica")</f>
        <v>0</v>
      </c>
      <c r="AE55" s="5">
        <f>COUNTIFS(   N4:N451,"2016", D4:D451,"Geoquímica")</f>
        <v>0</v>
      </c>
      <c r="AF55" s="5">
        <f>COUNTIFS(   N4:N451,"2017", D4:D451,"Geoquímica")</f>
        <v>1</v>
      </c>
      <c r="AG55" s="5">
        <f>COUNTIFS(   N4:N451,"2018", D4:D451,"Geoquímica")</f>
        <v>0</v>
      </c>
      <c r="AH55" s="5">
        <f>COUNTIFS(   D4:D451,"Geoquímica",G4:G451,"Sí")</f>
        <v>0</v>
      </c>
      <c r="AI55" s="5">
        <f>COUNTIFS(   D4:D451,"Geoquímica",G4:G451,"No")</f>
        <v>1</v>
      </c>
      <c r="AJ55" s="5">
        <f>SUMIFS( E4:E451, D4:D451,"Geoquímica",G4:G451,"Sí")</f>
        <v>0</v>
      </c>
      <c r="AK55" s="5">
        <f>SUMIFS( E4:E451, D4:D451,"Geoquímica",G4:G451,"No")</f>
        <v>3</v>
      </c>
      <c r="AL55" s="5">
        <f>COUNTIFS(   D4:D451,"Geoquímica",H4:H451,"Sí")</f>
        <v>0</v>
      </c>
      <c r="AM55" s="5">
        <f>COUNTIFS(   D4:D451,"Geoquímica",I4:I451,"Sí")</f>
        <v>1</v>
      </c>
      <c r="AN55" s="5">
        <f>COUNTIFS(   D4:D451,"Geoquímica",I4:I451,"No")</f>
        <v>0</v>
      </c>
      <c r="AO55" s="5">
        <f>SUMIFS( E4:E451, D4:D451,"Geoquímica",I4:I451,"Sí")</f>
        <v>3</v>
      </c>
      <c r="AP55" s="5">
        <f>SUMIFS( E4:E451, D4:D451,"Geoquímica",I4:I451,"No")</f>
        <v>0</v>
      </c>
      <c r="AQ55" s="5">
        <f>COUNTIFS(   D4:D451,"Geoquímica",J4:J451,"Sí")</f>
        <v>1</v>
      </c>
      <c r="AR55" s="5">
        <f>COUNTIFS(   D4:D451,"Geoquímica",K4:K451,"Sí")</f>
        <v>1</v>
      </c>
      <c r="AS55" s="5">
        <f>COUNTIFS(   D4:D451,"Geoquímica",L4:L451,"Sí")</f>
        <v>1</v>
      </c>
      <c r="AT55" s="5">
        <f>SUMIFS( E4:E451, D4:D451,"Geoquímica")</f>
        <v>3</v>
      </c>
      <c r="AU55" s="5">
        <f>SUMIFS( E4:E451, F4:F451,"Hombre", D4:D451,"Geoquímica")</f>
        <v>0</v>
      </c>
      <c r="AV55" s="5">
        <f>SUMIFS( E4:E451, F4:F451,"Mujer", D4:D451,"Geoquímica")</f>
        <v>3</v>
      </c>
      <c r="AW55" s="29">
        <f>SUMIFS( E4:E451, A4:A451,"2013", D4:D451,"Geoquímica")</f>
        <v>0</v>
      </c>
      <c r="AX55" s="5">
        <f>SUMIFS( E4:E451, A4:A451,"2014", D4:D451,"Geoquímica")</f>
        <v>0</v>
      </c>
      <c r="AY55" s="5">
        <f>SUMIFS( E4:E451, A4:A451,"2015", D4:D451,"Geoquímica")</f>
        <v>0</v>
      </c>
      <c r="AZ55" s="5">
        <f>SUMIFS( E4:E451, A4:A451,"2016", D4:D451,"Geoquímica")</f>
        <v>0</v>
      </c>
      <c r="BA55" s="5">
        <f>SUMIFS( E4:E451, A4:A451,"2017", D4:D451,"Geoquímica")</f>
        <v>3</v>
      </c>
      <c r="BB55" s="29">
        <f>SUMIFS( E4:E451, N4:N451,"2014", D4:D451,"Geoquímica")</f>
        <v>0</v>
      </c>
      <c r="BC55" s="5">
        <f>SUMIFS( E4:E451, N4:N451,"2015", D4:D451,"Geoquímica")</f>
        <v>0</v>
      </c>
      <c r="BD55" s="5">
        <f>SUMIFS( E4:E451, N4:N451,"2016", D4:D451,"Geoquímica")</f>
        <v>0</v>
      </c>
      <c r="BE55" s="5">
        <f>SUMIFS( E4:E451, N4:N451,"2017", D4:D451,"Geoquímica")</f>
        <v>3</v>
      </c>
      <c r="BF55" s="5">
        <f>SUMIFS( E4:E451, N4:N451,"2018", D4:D451,"Geoquímica")</f>
        <v>0</v>
      </c>
      <c r="BG55" s="23">
        <f>AVERAGEIFS( E4:E451, D4:D451,"Geoquímica")</f>
        <v>3</v>
      </c>
      <c r="BH55" s="23">
        <v>0</v>
      </c>
      <c r="BI55" s="23">
        <v>0</v>
      </c>
      <c r="BJ55" s="23">
        <v>0</v>
      </c>
      <c r="BK55" s="23">
        <v>0</v>
      </c>
      <c r="BL55" s="23">
        <f>AVERAGEIFS( E4:E451, A4:A451,"2017", D4:D451,"Geoquímica")</f>
        <v>3</v>
      </c>
      <c r="BM55" s="23">
        <v>3</v>
      </c>
      <c r="BN55" s="23">
        <v>0</v>
      </c>
      <c r="BO55" s="23">
        <v>0</v>
      </c>
      <c r="BP55" s="23">
        <v>0</v>
      </c>
      <c r="BQ55" s="23">
        <v>0</v>
      </c>
      <c r="BR55" s="23">
        <v>3</v>
      </c>
    </row>
    <row r="56" spans="1:70" ht="15" customHeight="1" x14ac:dyDescent="0.25">
      <c r="A56">
        <v>2017</v>
      </c>
      <c r="B56" t="s">
        <v>4</v>
      </c>
      <c r="C56" t="s">
        <v>18</v>
      </c>
      <c r="D56" t="s">
        <v>22</v>
      </c>
      <c r="E56">
        <v>9</v>
      </c>
      <c r="F56" t="s">
        <v>215</v>
      </c>
      <c r="G56" t="s">
        <v>233</v>
      </c>
      <c r="H56" t="s">
        <v>233</v>
      </c>
      <c r="I56" t="s">
        <v>233</v>
      </c>
      <c r="J56" t="s">
        <v>234</v>
      </c>
      <c r="K56" t="s">
        <v>234</v>
      </c>
      <c r="L56" t="s">
        <v>234</v>
      </c>
      <c r="M56" s="14">
        <v>43074</v>
      </c>
      <c r="N56" s="14" t="str">
        <f t="shared" si="0"/>
        <v>2017</v>
      </c>
      <c r="O56" s="55" t="s">
        <v>87</v>
      </c>
      <c r="P56" s="56"/>
      <c r="Q56" s="56"/>
      <c r="R56" s="56"/>
      <c r="S56" s="56"/>
      <c r="T56" s="57"/>
      <c r="U56" s="5">
        <f>COUNTIFS(   D4:D451,"Mineralogía")</f>
        <v>2</v>
      </c>
      <c r="V56" s="5">
        <f>COUNTIFS(   D4:D451,"Mineralogía",F4:F451,"Hombre")</f>
        <v>1</v>
      </c>
      <c r="W56" s="5">
        <f>COUNTIFS(   D4:D451,"Mineralogía",F4:F451,"Mujer")</f>
        <v>1</v>
      </c>
      <c r="X56" s="29">
        <f>COUNTIFS(   A4:A451,"2013", D4:D451,"Mineralogía")</f>
        <v>0</v>
      </c>
      <c r="Y56" s="5">
        <f>COUNTIFS(   A4:A451,"2014", D4:D451,"Mineralogía")</f>
        <v>0</v>
      </c>
      <c r="Z56" s="5">
        <f>COUNTIFS(   A4:A451,"2015", D4:D451,"Mineralogía")</f>
        <v>1</v>
      </c>
      <c r="AA56" s="5">
        <f>COUNTIFS(   A4:A451,"2016", D4:D451,"Mineralogía")</f>
        <v>0</v>
      </c>
      <c r="AB56" s="5">
        <f>COUNTIFS(   A4:A451,"2017", D4:D451,"Mineralogía")</f>
        <v>1</v>
      </c>
      <c r="AC56" s="29">
        <f>COUNTIFS(   N4:N451,"2014", D4:D451,"Mineralogía")</f>
        <v>0</v>
      </c>
      <c r="AD56" s="5">
        <f>COUNTIFS(   N4:N451,"2015", D4:D451,"Mineralogía")</f>
        <v>0</v>
      </c>
      <c r="AE56" s="5">
        <f>COUNTIFS(   N4:N451,"2016", D4:D451,"Mineralogía")</f>
        <v>1</v>
      </c>
      <c r="AF56" s="5">
        <f>COUNTIFS(   N4:N451,"2017", D4:D451,"Mineralogía")</f>
        <v>1</v>
      </c>
      <c r="AG56" s="5">
        <f>COUNTIFS(   N4:N451,"2018", D4:D451,"Mineralogía")</f>
        <v>0</v>
      </c>
      <c r="AH56" s="5">
        <f>COUNTIFS(   D4:D451,"Mineralogía",G4:G451,"Sí")</f>
        <v>1</v>
      </c>
      <c r="AI56" s="5">
        <f>COUNTIFS(   D4:D451,"Mineralogía",G4:G451,"No")</f>
        <v>1</v>
      </c>
      <c r="AJ56" s="5">
        <f>SUMIFS( E4:E451, D4:D451,"Mineralogía",G4:G451,"Sí")</f>
        <v>4</v>
      </c>
      <c r="AK56" s="5">
        <f>SUMIFS( E4:E451, D4:D451,"Mineralogía",G4:G451,"No")</f>
        <v>19</v>
      </c>
      <c r="AL56" s="5">
        <f>COUNTIFS(   D4:D451,"Mineralogía",H4:H451,"Sí")</f>
        <v>0</v>
      </c>
      <c r="AM56" s="5">
        <f>COUNTIFS(   D4:D451,"Mineralogía",I4:I451,"Sí")</f>
        <v>1</v>
      </c>
      <c r="AN56" s="5">
        <f>COUNTIFS(   D4:D451,"Mineralogía",I4:I451,"No")</f>
        <v>1</v>
      </c>
      <c r="AO56" s="5">
        <f>SUMIFS( E4:E451, D4:D451,"Mineralogía",I4:I451,"Sí")</f>
        <v>19</v>
      </c>
      <c r="AP56" s="5">
        <f>SUMIFS( E4:E451, D4:D451,"Mineralogía",I4:I451,"No")</f>
        <v>4</v>
      </c>
      <c r="AQ56" s="5">
        <f>COUNTIFS(   D4:D451,"Mineralogía",J4:J451,"Sí")</f>
        <v>1</v>
      </c>
      <c r="AR56" s="5">
        <f>COUNTIFS(   D4:D451,"Mineralogía",K4:K451,"Sí")</f>
        <v>2</v>
      </c>
      <c r="AS56" s="5">
        <f>COUNTIFS(   D4:D451,"Mineralogía",L4:L451,"Sí")</f>
        <v>2</v>
      </c>
      <c r="AT56" s="5">
        <f>SUMIFS( E4:E451, D4:D451,"Mineralogía")</f>
        <v>23</v>
      </c>
      <c r="AU56" s="5">
        <f>SUMIFS( E4:E451, F4:F451,"Hombre", D4:D451,"Mineralogía")</f>
        <v>19</v>
      </c>
      <c r="AV56" s="5">
        <f>SUMIFS( E4:E451, F4:F451,"Mujer", D4:D451,"Mineralogía")</f>
        <v>4</v>
      </c>
      <c r="AW56" s="29">
        <f>SUMIFS( E4:E451, A4:A451,"2013", D4:D451,"Mineralogía")</f>
        <v>0</v>
      </c>
      <c r="AX56" s="5">
        <f>SUMIFS( E4:E451, A4:A451,"2014", D4:D451,"Mineralogía")</f>
        <v>0</v>
      </c>
      <c r="AY56" s="5">
        <f>SUMIFS( E4:E451, A4:A451,"2015", D4:D451,"Mineralogía")</f>
        <v>4</v>
      </c>
      <c r="AZ56" s="5">
        <f>SUMIFS( E4:E451, A4:A451,"2016", D4:D451,"Mineralogía")</f>
        <v>0</v>
      </c>
      <c r="BA56" s="5">
        <f>SUMIFS( E4:E451, A4:A451,"2017", D4:D451,"Mineralogía")</f>
        <v>19</v>
      </c>
      <c r="BB56" s="29">
        <f>SUMIFS( E4:E451, N4:N451,"2014", D4:D451,"Mineralogía")</f>
        <v>0</v>
      </c>
      <c r="BC56" s="5">
        <f>SUMIFS( E4:E451, N4:N451,"2015", D4:D451,"Mineralogía")</f>
        <v>0</v>
      </c>
      <c r="BD56" s="5">
        <f>SUMIFS( E4:E451, N4:N451,"2016", D4:D451,"Mineralogía")</f>
        <v>4</v>
      </c>
      <c r="BE56" s="5">
        <f>SUMIFS( E4:E451, N4:N451,"2017", D4:D451,"Mineralogía")</f>
        <v>19</v>
      </c>
      <c r="BF56" s="5">
        <f>SUMIFS( E4:E451, N4:N451,"2018", D4:D451,"Mineralogía")</f>
        <v>0</v>
      </c>
      <c r="BG56" s="23">
        <f>AVERAGEIFS( E4:E451, D4:D451,"Mineralogía")</f>
        <v>11.5</v>
      </c>
      <c r="BH56" s="23">
        <v>0</v>
      </c>
      <c r="BI56" s="23">
        <v>0</v>
      </c>
      <c r="BJ56" s="23">
        <f>AVERAGEIFS( E4:E451, A4:A451,"2015", D4:D451,"Mineralogía")</f>
        <v>4</v>
      </c>
      <c r="BK56" s="23">
        <v>0</v>
      </c>
      <c r="BL56" s="23">
        <f>AVERAGEIFS( E4:E451, A4:A451,"2017", D4:D451,"Mineralogía")</f>
        <v>19</v>
      </c>
      <c r="BM56" s="23">
        <v>11.5</v>
      </c>
      <c r="BN56" s="23">
        <v>0</v>
      </c>
      <c r="BO56" s="23">
        <v>0</v>
      </c>
      <c r="BP56" s="23">
        <v>4</v>
      </c>
      <c r="BQ56" s="23">
        <v>0</v>
      </c>
      <c r="BR56" s="23">
        <v>19</v>
      </c>
    </row>
    <row r="57" spans="1:70" ht="15" customHeight="1" x14ac:dyDescent="0.25">
      <c r="A57">
        <v>2017</v>
      </c>
      <c r="B57" t="s">
        <v>4</v>
      </c>
      <c r="C57" t="s">
        <v>18</v>
      </c>
      <c r="D57" t="s">
        <v>20</v>
      </c>
      <c r="E57">
        <v>1</v>
      </c>
      <c r="F57" t="s">
        <v>211</v>
      </c>
      <c r="G57" t="s">
        <v>233</v>
      </c>
      <c r="H57" t="s">
        <v>233</v>
      </c>
      <c r="I57" t="s">
        <v>233</v>
      </c>
      <c r="J57" t="s">
        <v>234</v>
      </c>
      <c r="K57" t="s">
        <v>233</v>
      </c>
      <c r="L57" t="s">
        <v>234</v>
      </c>
      <c r="M57" s="14">
        <v>43042</v>
      </c>
      <c r="N57" s="14" t="str">
        <f t="shared" si="0"/>
        <v>2017</v>
      </c>
      <c r="O57" s="55" t="s">
        <v>85</v>
      </c>
      <c r="P57" s="56"/>
      <c r="Q57" s="56"/>
      <c r="R57" s="56"/>
      <c r="S57" s="56"/>
      <c r="T57" s="57"/>
      <c r="U57" s="5">
        <f>COUNTIFS(   D4:D451,"Paleo-climatología y dinámica atmosférica")</f>
        <v>1</v>
      </c>
      <c r="V57" s="5">
        <f>COUNTIFS(   D4:D451,"Paleo-climatología y dinámica atmosférica",F4:F451,"Hombre")</f>
        <v>0</v>
      </c>
      <c r="W57" s="5">
        <f>COUNTIFS(   D4:D451,"Paleo-climatología y dinámica atmosférica",F4:F451,"Mujer")</f>
        <v>1</v>
      </c>
      <c r="X57" s="29">
        <f>COUNTIFS(   A4:A451,"2013", D4:D451,"Paleo-climatología y dinámica atmosférica")</f>
        <v>0</v>
      </c>
      <c r="Y57" s="5">
        <f>COUNTIFS(   A4:A451,"2014", D4:D451,"Paleo-climatología y dinámica atmosférica")</f>
        <v>0</v>
      </c>
      <c r="Z57" s="5">
        <f>COUNTIFS(   A4:A451,"2015", D4:D451,"Paleo-climatología y dinámica atmosférica")</f>
        <v>0</v>
      </c>
      <c r="AA57" s="5">
        <f>COUNTIFS(   A4:A451,"2016", D4:D451,"Paleo-climatología y dinámica atmosférica")</f>
        <v>1</v>
      </c>
      <c r="AB57" s="5">
        <f>COUNTIFS(   A4:A451,"2017", D4:D451,"Paleo-climatología y dinámica atmosférica")</f>
        <v>0</v>
      </c>
      <c r="AC57" s="29">
        <f>COUNTIFS(   N4:N451,"2014", D4:D451,"Paleo-climatología y dinámica atmosférica")</f>
        <v>0</v>
      </c>
      <c r="AD57" s="5">
        <f>COUNTIFS(   N4:N451,"2015", D4:D451,"Paleo-climatología y dinámica atmosférica")</f>
        <v>0</v>
      </c>
      <c r="AE57" s="5">
        <f>COUNTIFS(   N4:N451,"2016", D4:D451,"Paleo-climatología y dinámica atmosférica")</f>
        <v>0</v>
      </c>
      <c r="AF57" s="5">
        <f>COUNTIFS(   N4:N451,"2017", D4:D451,"Paleo-climatología y dinámica atmosférica")</f>
        <v>1</v>
      </c>
      <c r="AG57" s="5">
        <f>COUNTIFS(   N4:N451,"2018", D4:D451,"Paleo-climatología y dinámica atmosférica")</f>
        <v>0</v>
      </c>
      <c r="AH57" s="5">
        <f>COUNTIFS(   D4:D451,"Paleo-climatología y dinámica atmosférica",G4:G451,"Sí")</f>
        <v>0</v>
      </c>
      <c r="AI57" s="5">
        <f>COUNTIFS(   D4:D451,"Paleo-climatología y dinámica atmosférica",G4:G451,"No")</f>
        <v>1</v>
      </c>
      <c r="AJ57" s="5">
        <f>SUMIFS( E4:E451, D4:D451,"Paleo-climatología y dinámica atmosférica",G4:G451,"Sí")</f>
        <v>0</v>
      </c>
      <c r="AK57" s="5">
        <f>SUMIFS( E4:E451, D4:D451,"Paleo-climatología y dinámica atmosférica",G4:G451,"No")</f>
        <v>6</v>
      </c>
      <c r="AL57" s="5">
        <f>COUNTIFS(   D4:D451,"Paleo-climatología y dinámica atmosférica",H4:H451,"Sí")</f>
        <v>0</v>
      </c>
      <c r="AM57" s="5">
        <f>COUNTIFS(   D4:D451,"Paleo-climatología y dinámica atmosférica",I4:I451,"Sí")</f>
        <v>1</v>
      </c>
      <c r="AN57" s="5">
        <f>COUNTIFS(   D4:D451,"Paleo-climatología y dinámica atmosférica",I4:I451,"No")</f>
        <v>0</v>
      </c>
      <c r="AO57" s="5">
        <f>SUMIFS( E4:E451, D4:D451,"Paleo-climatología y dinámica atmosférica",I4:I451,"Sí")</f>
        <v>6</v>
      </c>
      <c r="AP57" s="5">
        <f>SUMIFS( E4:E451, D4:D451,"Paleo-climatología y dinámica atmosférica",I4:I451,"No")</f>
        <v>0</v>
      </c>
      <c r="AQ57" s="5">
        <f>COUNTIFS(   D4:D451,"Paleo-climatología y dinámica atmosférica",J4:J451,"Sí")</f>
        <v>1</v>
      </c>
      <c r="AR57" s="5">
        <f>COUNTIFS(   D4:D451,"Paleo-climatología y dinámica atmosférica",K4:K451,"Sí")</f>
        <v>0</v>
      </c>
      <c r="AS57" s="5">
        <f>COUNTIFS(   D4:D451,"Paleo-climatología y dinámica atmosférica",L4:L451,"Sí")</f>
        <v>1</v>
      </c>
      <c r="AT57" s="5">
        <f>SUMIFS( E4:E451, D4:D451,"Paleo-climatología y dinámica atmosférica")</f>
        <v>6</v>
      </c>
      <c r="AU57" s="5">
        <f>SUMIFS( E4:E451, F4:F451,"Hombre", D4:D451,"Paleo-climatología y dinámica atmosférica")</f>
        <v>0</v>
      </c>
      <c r="AV57" s="5">
        <f>SUMIFS( E4:E451, F4:F451,"Mujer", D4:D451,"Paleo-climatología y dinámica atmosférica")</f>
        <v>6</v>
      </c>
      <c r="AW57" s="29">
        <f>SUMIFS( E4:E451, A4:A451,"2013", D4:D451,"Paleo-climatología y dinámica atmosférica")</f>
        <v>0</v>
      </c>
      <c r="AX57" s="5">
        <f>SUMIFS( E4:E451, A4:A451,"2014", D4:D451,"Paleo-climatología y dinámica atmosférica")</f>
        <v>0</v>
      </c>
      <c r="AY57" s="5">
        <f>SUMIFS( E4:E451, A4:A451,"2015", D4:D451,"Paleo-climatología y dinámica atmosférica")</f>
        <v>0</v>
      </c>
      <c r="AZ57" s="5">
        <f>SUMIFS( E4:E451, A4:A451,"2016", D4:D451,"Paleo-climatología y dinámica atmosférica")</f>
        <v>6</v>
      </c>
      <c r="BA57" s="5">
        <f>SUMIFS( E4:E451, A4:A451,"2017", D4:D451,"Paleo-climatología y dinámica atmosférica")</f>
        <v>0</v>
      </c>
      <c r="BB57" s="29">
        <f>SUMIFS( E4:E451, N4:N451,"2014", D4:D451,"Paleo-climatología y dinámica atmosférica")</f>
        <v>0</v>
      </c>
      <c r="BC57" s="5">
        <f>SUMIFS( E4:E451, N4:N451,"2015", D4:D451,"Paleo-climatología y dinámica atmosférica")</f>
        <v>0</v>
      </c>
      <c r="BD57" s="5">
        <f>SUMIFS( E4:E451, N4:N451,"2016", D4:D451,"Paleo-climatología y dinámica atmosférica")</f>
        <v>0</v>
      </c>
      <c r="BE57" s="5">
        <f>SUMIFS( E4:E451, N4:N451,"2017", D4:D451,"Paleo-climatología y dinámica atmosférica")</f>
        <v>6</v>
      </c>
      <c r="BF57" s="5">
        <f>SUMIFS( E4:E451, N4:N451,"2018", D4:D451,"Paleo-climatología y dinámica atmosférica")</f>
        <v>0</v>
      </c>
      <c r="BG57" s="23">
        <f>AVERAGEIFS( E4:E451, D4:D451,"Paleo-climatología y dinámica atmosférica")</f>
        <v>6</v>
      </c>
      <c r="BH57" s="23">
        <v>0</v>
      </c>
      <c r="BI57" s="23">
        <v>0</v>
      </c>
      <c r="BJ57" s="23">
        <v>0</v>
      </c>
      <c r="BK57" s="23">
        <f>AVERAGEIFS( E4:E451, A4:A451,"2016", D4:D451,"Paleo-climatología y dinámica atmosférica")</f>
        <v>6</v>
      </c>
      <c r="BL57" s="23">
        <v>0</v>
      </c>
      <c r="BM57" s="23">
        <v>6</v>
      </c>
      <c r="BN57" s="23">
        <v>0</v>
      </c>
      <c r="BO57" s="23">
        <v>0</v>
      </c>
      <c r="BP57" s="23">
        <v>0</v>
      </c>
      <c r="BQ57" s="23">
        <v>6</v>
      </c>
      <c r="BR57" s="23">
        <v>0</v>
      </c>
    </row>
    <row r="58" spans="1:70" ht="15" customHeight="1" x14ac:dyDescent="0.25">
      <c r="A58">
        <v>2017</v>
      </c>
      <c r="B58" t="s">
        <v>4</v>
      </c>
      <c r="C58" t="s">
        <v>18</v>
      </c>
      <c r="D58" t="s">
        <v>20</v>
      </c>
      <c r="E58">
        <v>2</v>
      </c>
      <c r="F58" t="s">
        <v>215</v>
      </c>
      <c r="G58" t="s">
        <v>233</v>
      </c>
      <c r="H58" t="s">
        <v>233</v>
      </c>
      <c r="I58" t="s">
        <v>233</v>
      </c>
      <c r="J58" t="s">
        <v>234</v>
      </c>
      <c r="K58" t="s">
        <v>233</v>
      </c>
      <c r="L58" t="s">
        <v>234</v>
      </c>
      <c r="M58" s="14">
        <v>43039</v>
      </c>
      <c r="N58" s="14" t="str">
        <f t="shared" si="0"/>
        <v>2017</v>
      </c>
      <c r="O58" s="55" t="s">
        <v>83</v>
      </c>
      <c r="P58" s="56"/>
      <c r="Q58" s="56"/>
      <c r="R58" s="56"/>
      <c r="S58" s="56"/>
      <c r="T58" s="57"/>
      <c r="U58" s="5">
        <f>COUNTIFS(   D4:D451,"Paleontología y Paleoecología")</f>
        <v>1</v>
      </c>
      <c r="V58" s="5">
        <f>COUNTIFS(   D4:D451,"Paleontología y Paleoecología",F4:F451,"Hombre")</f>
        <v>0</v>
      </c>
      <c r="W58" s="5">
        <f>COUNTIFS(   D4:D451,"Paleontología y Paleoecología",F4:F451,"Mujer")</f>
        <v>1</v>
      </c>
      <c r="X58" s="29">
        <f>COUNTIFS(   A4:A451,"2013", D4:D451,"Paleontología y Paleoecología")</f>
        <v>0</v>
      </c>
      <c r="Y58" s="5">
        <f>COUNTIFS(   A4:A451,"2014", D4:D451,"Paleontología y Paleoecología")</f>
        <v>0</v>
      </c>
      <c r="Z58" s="5">
        <f>COUNTIFS(   A4:A451,"2015", D4:D451,"Paleontología y Paleoecología")</f>
        <v>0</v>
      </c>
      <c r="AA58" s="5">
        <f>COUNTIFS(   A4:A451,"2016", D4:D451,"Paleontología y Paleoecología")</f>
        <v>0</v>
      </c>
      <c r="AB58" s="5">
        <f>COUNTIFS(   A4:A451,"2017", D4:D451,"Paleontología y Paleoecología")</f>
        <v>1</v>
      </c>
      <c r="AC58" s="29">
        <f>COUNTIFS(   N4:N451,"2014", D4:D451,"Paleontología y Paleoecología")</f>
        <v>0</v>
      </c>
      <c r="AD58" s="5">
        <f>COUNTIFS(   N4:N451,"2015", D4:D451,"Paleontología y Paleoecología")</f>
        <v>0</v>
      </c>
      <c r="AE58" s="5">
        <f>COUNTIFS(   N4:N451,"2016", D4:D451,"Paleontología y Paleoecología")</f>
        <v>0</v>
      </c>
      <c r="AF58" s="5">
        <f>COUNTIFS(   N4:N451,"2017", D4:D451,"Paleontología y Paleoecología")</f>
        <v>0</v>
      </c>
      <c r="AG58" s="5">
        <f>COUNTIFS(   N4:N451,"2018", D4:D451,"Paleontología y Paleoecología")</f>
        <v>1</v>
      </c>
      <c r="AH58" s="5">
        <f>COUNTIFS(   D4:D451,"Paleontología y Paleoecología",G4:G451,"Sí")</f>
        <v>0</v>
      </c>
      <c r="AI58" s="5">
        <f>COUNTIFS(   D4:D451,"Paleontología y Paleoecología",G4:G451,"No")</f>
        <v>1</v>
      </c>
      <c r="AJ58" s="5">
        <f>SUMIFS( E4:E451, D4:D451,"Paleontología y Paleoecología",G4:G451,"Sí")</f>
        <v>0</v>
      </c>
      <c r="AK58" s="5">
        <f>SUMIFS( E4:E451, D4:D451,"Paleontología y Paleoecología",G4:G451,"No")</f>
        <v>5</v>
      </c>
      <c r="AL58" s="5">
        <f>COUNTIFS(   D4:D451,"Paleontología y Paleoecología",H4:H451,"Sí")</f>
        <v>1</v>
      </c>
      <c r="AM58" s="5">
        <f>COUNTIFS(   D4:D451,"Paleontología y Paleoecología",I4:I451,"Sí")</f>
        <v>1</v>
      </c>
      <c r="AN58" s="5">
        <f>COUNTIFS(   D4:D451,"Paleontología y Paleoecología",I4:I451,"No")</f>
        <v>0</v>
      </c>
      <c r="AO58" s="5">
        <f>SUMIFS( E4:E451, D4:D451,"Paleontología y Paleoecología",I4:I451,"Sí")</f>
        <v>5</v>
      </c>
      <c r="AP58" s="5">
        <f>SUMIFS( E4:E451, D4:D451,"Paleontología y Paleoecología",I4:I451,"No")</f>
        <v>0</v>
      </c>
      <c r="AQ58" s="5">
        <f>COUNTIFS(   D4:D451,"Paleontología y Paleoecología",J4:J451,"Sí")</f>
        <v>1</v>
      </c>
      <c r="AR58" s="5">
        <f>COUNTIFS(   D4:D451,"Paleontología y Paleoecología",K4:K451,"Sí")</f>
        <v>1</v>
      </c>
      <c r="AS58" s="5">
        <f>COUNTIFS(   D4:D451,"Paleontología y Paleoecología",L4:L451,"Sí")</f>
        <v>1</v>
      </c>
      <c r="AT58" s="5">
        <f>SUMIFS( E4:E451, D4:D451,"Paleontología y Paleoecología")</f>
        <v>5</v>
      </c>
      <c r="AU58" s="5">
        <f>SUMIFS( E4:E451, F4:F451,"Hombre", D4:D451,"Paleontología y Paleoecología")</f>
        <v>0</v>
      </c>
      <c r="AV58" s="5">
        <f>SUMIFS( E4:E451, F4:F451,"Mujer", D4:D451,"Paleontología y Paleoecología")</f>
        <v>5</v>
      </c>
      <c r="AW58" s="29">
        <f>SUMIFS( E4:E451, A4:A451,"2013", D4:D451,"Paleontología y Paleoecología")</f>
        <v>0</v>
      </c>
      <c r="AX58" s="5">
        <f>SUMIFS( E4:E451, A4:A451,"2014", D4:D451,"Paleontología y Paleoecología")</f>
        <v>0</v>
      </c>
      <c r="AY58" s="5">
        <f>SUMIFS( E4:E451, A4:A451,"2015", D4:D451,"Paleontología y Paleoecología")</f>
        <v>0</v>
      </c>
      <c r="AZ58" s="5">
        <f>SUMIFS( E4:E451, A4:A451,"2016", D4:D451,"Paleontología y Paleoecología")</f>
        <v>0</v>
      </c>
      <c r="BA58" s="5">
        <f>SUMIFS( E4:E451, A4:A451,"2017", D4:D451,"Paleontología y Paleoecología")</f>
        <v>5</v>
      </c>
      <c r="BB58" s="29">
        <f>SUMIFS( E4:E451, N4:N451,"2014", D4:D451,"Paleontología y Paleoecología")</f>
        <v>0</v>
      </c>
      <c r="BC58" s="5">
        <f>SUMIFS( E4:E451, N4:N451,"2015", D4:D451,"Paleontología y Paleoecología")</f>
        <v>0</v>
      </c>
      <c r="BD58" s="5">
        <f>SUMIFS( E4:E451, N4:N451,"2016", D4:D451,"Paleontología y Paleoecología")</f>
        <v>0</v>
      </c>
      <c r="BE58" s="5">
        <f>SUMIFS( E4:E451, N4:N451,"2017", D4:D451,"Paleontología y Paleoecología")</f>
        <v>0</v>
      </c>
      <c r="BF58" s="5">
        <f>SUMIFS( E4:E451, N4:N451,"2018", D4:D451,"Paleontología y Paleoecología")</f>
        <v>5</v>
      </c>
      <c r="BG58" s="23">
        <f>AVERAGEIFS( E4:E451, D4:D451,"Paleontología y Paleoecología")</f>
        <v>5</v>
      </c>
      <c r="BH58" s="23">
        <v>0</v>
      </c>
      <c r="BI58" s="23">
        <v>0</v>
      </c>
      <c r="BJ58" s="23">
        <v>0</v>
      </c>
      <c r="BK58" s="23">
        <v>0</v>
      </c>
      <c r="BL58" s="23">
        <f>AVERAGEIFS( E4:E451, A4:A451,"2017", D4:D451,"Paleontología y Paleoecología")</f>
        <v>5</v>
      </c>
      <c r="BM58" s="23">
        <v>5</v>
      </c>
      <c r="BN58" s="23">
        <v>0</v>
      </c>
      <c r="BO58" s="23">
        <v>0</v>
      </c>
      <c r="BP58" s="23">
        <v>0</v>
      </c>
      <c r="BQ58" s="23">
        <v>0</v>
      </c>
      <c r="BR58" s="23">
        <v>5</v>
      </c>
    </row>
    <row r="59" spans="1:70" ht="15" customHeight="1" x14ac:dyDescent="0.25">
      <c r="A59">
        <v>2016</v>
      </c>
      <c r="B59" t="s">
        <v>4</v>
      </c>
      <c r="C59" t="s">
        <v>18</v>
      </c>
      <c r="D59" t="s">
        <v>19</v>
      </c>
      <c r="E59" s="17">
        <v>3</v>
      </c>
      <c r="F59" t="s">
        <v>215</v>
      </c>
      <c r="G59" t="s">
        <v>233</v>
      </c>
      <c r="H59" t="s">
        <v>233</v>
      </c>
      <c r="I59" t="s">
        <v>233</v>
      </c>
      <c r="J59" t="s">
        <v>234</v>
      </c>
      <c r="K59" t="s">
        <v>233</v>
      </c>
      <c r="L59" t="s">
        <v>234</v>
      </c>
      <c r="M59" s="14">
        <v>42933</v>
      </c>
      <c r="N59" s="14" t="str">
        <f t="shared" si="0"/>
        <v>2017</v>
      </c>
      <c r="O59" s="55" t="s">
        <v>86</v>
      </c>
      <c r="P59" s="56"/>
      <c r="Q59" s="56"/>
      <c r="R59" s="56"/>
      <c r="S59" s="56"/>
      <c r="T59" s="57"/>
      <c r="U59" s="5">
        <f>COUNTIFS(   D4:D451,"Petrogénesis y Yacimientos minerales")</f>
        <v>1</v>
      </c>
      <c r="V59" s="5">
        <f>COUNTIFS(   D4:D451,"Petrogénesis y Yacimientos minerales",F4:F451,"Hombre")</f>
        <v>1</v>
      </c>
      <c r="W59" s="5">
        <f>COUNTIFS(   D4:D451,"Petrogénesis y Yacimientos minerales",F4:F451,"Mujer")</f>
        <v>0</v>
      </c>
      <c r="X59" s="29">
        <f>COUNTIFS(   A4:A451,"2013", D4:D451,"Petrogénesis y Yacimientos minerales")</f>
        <v>0</v>
      </c>
      <c r="Y59" s="5">
        <f>COUNTIFS(   A4:A451,"2014", D4:D451,"Petrogénesis y Yacimientos minerales")</f>
        <v>0</v>
      </c>
      <c r="Z59" s="5">
        <f>COUNTIFS(   A4:A451,"2015", D4:D451,"Petrogénesis y Yacimientos minerales")</f>
        <v>0</v>
      </c>
      <c r="AA59" s="5">
        <f>COUNTIFS(   A4:A451,"2016", D4:D451,"Petrogénesis y Yacimientos minerales")</f>
        <v>1</v>
      </c>
      <c r="AB59" s="5">
        <f>COUNTIFS(   A4:A451,"2017", D4:D451,"Petrogénesis y Yacimientos minerales")</f>
        <v>0</v>
      </c>
      <c r="AC59" s="29">
        <f>COUNTIFS(   N4:N451,"2014", D4:D451,"Petrogénesis y Yacimientos minerales")</f>
        <v>0</v>
      </c>
      <c r="AD59" s="5">
        <f>COUNTIFS(   N4:N451,"2015", D4:D451,"Petrogénesis y Yacimientos minerales")</f>
        <v>0</v>
      </c>
      <c r="AE59" s="5">
        <f>COUNTIFS(   N4:N451,"2016", D4:D451,"Petrogénesis y Yacimientos minerales")</f>
        <v>0</v>
      </c>
      <c r="AF59" s="5">
        <f>COUNTIFS(   N4:N451,"2017", D4:D451,"Petrogénesis y Yacimientos minerales")</f>
        <v>1</v>
      </c>
      <c r="AG59" s="5">
        <f>COUNTIFS(   N4:N451,"2018", D4:D451,"Petrogénesis y Yacimientos minerales")</f>
        <v>0</v>
      </c>
      <c r="AH59" s="5">
        <f>COUNTIFS(   D4:D451,"Petrogénesis y Yacimientos minerales",G4:G451,"Sí")</f>
        <v>0</v>
      </c>
      <c r="AI59" s="5">
        <f>COUNTIFS(   D4:D451,"Petrogénesis y Yacimientos minerales",G4:G451,"No")</f>
        <v>1</v>
      </c>
      <c r="AJ59" s="5">
        <f>SUMIFS( E4:E451, D4:D451,"Petrogénesis y Yacimientos minerales",G4:G451,"Sí")</f>
        <v>0</v>
      </c>
      <c r="AK59" s="5">
        <f>SUMIFS( E4:E451, D4:D451,"Petrogénesis y Yacimientos minerales",G4:G451,"No")</f>
        <v>2</v>
      </c>
      <c r="AL59" s="5">
        <f>COUNTIFS(   D4:D451,"Petrogénesis y Yacimientos minerales",H4:H451,"Sí")</f>
        <v>0</v>
      </c>
      <c r="AM59" s="5">
        <f>COUNTIFS(   D4:D451,"Petrogénesis y Yacimientos minerales",I4:I451,"Sí")</f>
        <v>1</v>
      </c>
      <c r="AN59" s="5">
        <f>COUNTIFS(   D4:D451,"Petrogénesis y Yacimientos minerales",I4:I451,"No")</f>
        <v>0</v>
      </c>
      <c r="AO59" s="5">
        <f>SUMIFS( E4:E451, D4:D451,"Petrogénesis y Yacimientos minerales",I4:I451,"Sí")</f>
        <v>2</v>
      </c>
      <c r="AP59" s="5">
        <f>SUMIFS( E4:E451, D4:D451,"Petrogénesis y Yacimientos minerales",I4:I451,"No")</f>
        <v>0</v>
      </c>
      <c r="AQ59" s="5">
        <f>COUNTIFS(   D4:D451,"Petrogénesis y Yacimientos minerales",J4:J451,"Sí")</f>
        <v>1</v>
      </c>
      <c r="AR59" s="5">
        <f>COUNTIFS(   D4:D451,"Petrogénesis y Yacimientos minerales",K4:K451,"Sí")</f>
        <v>1</v>
      </c>
      <c r="AS59" s="5">
        <f>COUNTIFS(   D4:D451,"Petrogénesis y Yacimientos minerales",L4:L451,"Sí")</f>
        <v>1</v>
      </c>
      <c r="AT59" s="5">
        <f>SUMIFS( E4:E451, D4:D451,"Petrogénesis y Yacimientos minerales")</f>
        <v>2</v>
      </c>
      <c r="AU59" s="5">
        <f>SUMIFS( E4:E451, F4:F451,"Hombre", D4:D451,"Petrogénesis y Yacimientos minerales")</f>
        <v>2</v>
      </c>
      <c r="AV59" s="5">
        <f>SUMIFS( E4:E451, F4:F451,"Mujer", D4:D451,"Petrogénesis y Yacimientos minerales")</f>
        <v>0</v>
      </c>
      <c r="AW59" s="29">
        <f>SUMIFS( E4:E451, A4:A451,"2013", D4:D451,"Petrogénesis y Yacimientos minerales")</f>
        <v>0</v>
      </c>
      <c r="AX59" s="5">
        <f>SUMIFS( E4:E451, A4:A451,"2014", D4:D451,"Petrogénesis y Yacimientos minerales")</f>
        <v>0</v>
      </c>
      <c r="AY59" s="5">
        <f>SUMIFS( E4:E451, A4:A451,"2015", D4:D451,"Petrogénesis y Yacimientos minerales")</f>
        <v>0</v>
      </c>
      <c r="AZ59" s="5">
        <f>SUMIFS( E4:E451, A4:A451,"2016", D4:D451,"Petrogénesis y Yacimientos minerales")</f>
        <v>2</v>
      </c>
      <c r="BA59" s="5">
        <f>SUMIFS( E4:E451, A4:A451,"2017", D4:D451,"Petrogénesis y Yacimientos minerales")</f>
        <v>0</v>
      </c>
      <c r="BB59" s="29">
        <f>SUMIFS( E4:E451, N4:N451,"2014", D4:D451,"Petrogénesis y Yacimientos minerales")</f>
        <v>0</v>
      </c>
      <c r="BC59" s="5">
        <f>SUMIFS( E4:E451, N4:N451,"2015", D4:D451,"Petrogénesis y Yacimientos minerales")</f>
        <v>0</v>
      </c>
      <c r="BD59" s="5">
        <f>SUMIFS( E4:E451, N4:N451,"2016", D4:D451,"Petrogénesis y Yacimientos minerales")</f>
        <v>0</v>
      </c>
      <c r="BE59" s="5">
        <f>SUMIFS( E4:E451, N4:N451,"2017", D4:D451,"Petrogénesis y Yacimientos minerales")</f>
        <v>2</v>
      </c>
      <c r="BF59" s="5">
        <f>SUMIFS( E4:E451, N4:N451,"2018", D4:D451,"Petrogénesis y Yacimientos minerales")</f>
        <v>0</v>
      </c>
      <c r="BG59" s="23">
        <f>AVERAGEIFS( E4:E451, D4:D451,"Petrogénesis y Yacimientos minerales")</f>
        <v>2</v>
      </c>
      <c r="BH59" s="23">
        <v>0</v>
      </c>
      <c r="BI59" s="23">
        <v>0</v>
      </c>
      <c r="BJ59" s="23">
        <v>0</v>
      </c>
      <c r="BK59" s="23">
        <f>AVERAGEIFS( E4:E451, A4:A451,"2016", D4:D451,"Petrogénesis y Yacimientos minerales")</f>
        <v>2</v>
      </c>
      <c r="BL59" s="23">
        <v>0</v>
      </c>
      <c r="BM59" s="23">
        <v>2</v>
      </c>
      <c r="BN59" s="23">
        <v>0</v>
      </c>
      <c r="BO59" s="23">
        <v>0</v>
      </c>
      <c r="BP59" s="23">
        <v>0</v>
      </c>
      <c r="BQ59" s="23">
        <v>2</v>
      </c>
      <c r="BR59" s="23">
        <v>0</v>
      </c>
    </row>
    <row r="60" spans="1:70" ht="15" customHeight="1" x14ac:dyDescent="0.25">
      <c r="A60">
        <v>2016</v>
      </c>
      <c r="B60" t="s">
        <v>4</v>
      </c>
      <c r="C60" t="s">
        <v>18</v>
      </c>
      <c r="D60" t="s">
        <v>22</v>
      </c>
      <c r="E60" s="17">
        <v>16</v>
      </c>
      <c r="F60" t="s">
        <v>215</v>
      </c>
      <c r="G60" t="s">
        <v>233</v>
      </c>
      <c r="H60" t="s">
        <v>233</v>
      </c>
      <c r="I60" t="s">
        <v>233</v>
      </c>
      <c r="J60" t="s">
        <v>234</v>
      </c>
      <c r="K60" t="s">
        <v>233</v>
      </c>
      <c r="L60" t="s">
        <v>234</v>
      </c>
      <c r="M60" s="14">
        <v>42895</v>
      </c>
      <c r="N60" s="14" t="str">
        <f t="shared" si="0"/>
        <v>2017</v>
      </c>
      <c r="O60" s="6" t="s">
        <v>61</v>
      </c>
      <c r="P60" s="7"/>
      <c r="Q60" s="7"/>
      <c r="R60" s="7"/>
      <c r="S60" s="7"/>
      <c r="T60" s="8"/>
      <c r="U60" s="4">
        <f>COUNTIFS(   C4:C451,"Dinámica de Flujos Biogeoquímicos y sus Aplicaciones")</f>
        <v>7</v>
      </c>
      <c r="V60" s="4">
        <f>COUNTIFS(   C4:C451,"Dinámica de Flujos Biogeoquímicos y sus Aplicaciones",F4:F451,"Hombre")</f>
        <v>4</v>
      </c>
      <c r="W60" s="4">
        <f>COUNTIFS(   C4:C451,"Dinámica de Flujos Biogeoquímicos y sus Aplicaciones",F4:F451,"Mujer")</f>
        <v>3</v>
      </c>
      <c r="X60" s="28">
        <f>COUNTIFS(   A4:A451,"2013", C4:C451,"Dinámica de Flujos Biogeoquímicos y sus Aplicaciones")</f>
        <v>0</v>
      </c>
      <c r="Y60" s="4">
        <f>COUNTIFS(   A4:A451,"2014", C4:C451,"Dinámica de Flujos Biogeoquímicos y sus Aplicaciones")</f>
        <v>2</v>
      </c>
      <c r="Z60" s="4">
        <f>COUNTIFS(   A4:A451,"2015", C4:C451,"Dinámica de Flujos Biogeoquímicos y sus Aplicaciones")</f>
        <v>0</v>
      </c>
      <c r="AA60" s="4">
        <f>COUNTIFS(   A4:A451,"2016", C4:C451,"Dinámica de Flujos Biogeoquímicos y sus Aplicaciones")</f>
        <v>3</v>
      </c>
      <c r="AB60" s="4">
        <f>COUNTIFS(   A4:A451,"2017", C4:C451,"Dinámica de Flujos Biogeoquímicos y sus Aplicaciones")</f>
        <v>2</v>
      </c>
      <c r="AC60" s="28">
        <f>COUNTIFS(   N4:N451,"2014", C4:C451,"Dinámica de Flujos Biogeoquímicos y sus Aplicaciones")</f>
        <v>0</v>
      </c>
      <c r="AD60" s="4">
        <f>COUNTIFS(   N4:N451,"2015", C4:C451,"Dinámica de Flujos Biogeoquímicos y sus Aplicaciones")</f>
        <v>2</v>
      </c>
      <c r="AE60" s="4">
        <f>COUNTIFS(   N4:N451,"2016", C4:C451,"Dinámica de Flujos Biogeoquímicos y sus Aplicaciones")</f>
        <v>2</v>
      </c>
      <c r="AF60" s="4">
        <f>COUNTIFS(   N4:N451,"2017", C4:C451,"Dinámica de Flujos Biogeoquímicos y sus Aplicaciones")</f>
        <v>2</v>
      </c>
      <c r="AG60" s="4">
        <f>COUNTIFS(   N4:N451,"2018", C4:C451,"Dinámica de Flujos Biogeoquímicos y sus Aplicaciones")</f>
        <v>1</v>
      </c>
      <c r="AH60" s="4">
        <f>COUNTIFS(   C4:C451,"Dinámica de Flujos Biogeoquímicos y sus Aplicaciones",G4:G451,"Sí")</f>
        <v>1</v>
      </c>
      <c r="AI60" s="4">
        <f>COUNTIFS(   C4:C451,"Dinámica de Flujos Biogeoquímicos y sus Aplicaciones",G4:G451,"No")</f>
        <v>6</v>
      </c>
      <c r="AJ60" s="4">
        <f>SUMIFS( E4:E451, C4:C451,"Dinámica de Flujos Biogeoquímicos y sus Aplicaciones",G4:G451,"Sí")</f>
        <v>8</v>
      </c>
      <c r="AK60" s="4">
        <f>SUMIFS( E4:E451, C4:C451,"Dinámica de Flujos Biogeoquímicos y sus Aplicaciones",G4:G451,"No")</f>
        <v>61</v>
      </c>
      <c r="AL60" s="4">
        <f>COUNTIFS(   C4:C451,"Dinámica de Flujos Biogeoquímicos y sus Aplicaciones",H4:H451,"Sí")</f>
        <v>3</v>
      </c>
      <c r="AM60" s="4">
        <f>COUNTIFS(   C4:C451,"Dinámica de Flujos Biogeoquímicos y sus Aplicaciones",I4:I451,"Sí")</f>
        <v>3</v>
      </c>
      <c r="AN60" s="4">
        <f>COUNTIFS(   C4:C451,"Dinámica de Flujos Biogeoquímicos y sus Aplicaciones",I4:I451,"No")</f>
        <v>4</v>
      </c>
      <c r="AO60" s="4">
        <f>SUMIFS( E4:E451, C4:C451,"Dinámica de Flujos Biogeoquímicos y sus Aplicaciones",I4:I451,"Sí")</f>
        <v>38</v>
      </c>
      <c r="AP60" s="4">
        <f>SUMIFS( E4:E451, C4:C451,"Dinámica de Flujos Biogeoquímicos y sus Aplicaciones",I4:I451,"No")</f>
        <v>31</v>
      </c>
      <c r="AQ60" s="4">
        <f>COUNTIFS(   C4:C451,"Dinámica de Flujos Biogeoquímicos y sus Aplicaciones",J4:J451,"Sí")</f>
        <v>7</v>
      </c>
      <c r="AR60" s="4">
        <f>COUNTIFS(   C4:C451,"Dinámica de Flujos Biogeoquímicos y sus Aplicaciones",K4:K451,"Sí")</f>
        <v>2</v>
      </c>
      <c r="AS60" s="4">
        <f>COUNTIFS(   C4:C451,"Dinámica de Flujos Biogeoquímicos y sus Aplicaciones",L4:L451,"Sí")</f>
        <v>7</v>
      </c>
      <c r="AT60" s="4">
        <f>SUMIFS( E4:E451, C4:C451,"Dinámica de Flujos Biogeoquímicos y sus Aplicaciones")</f>
        <v>69</v>
      </c>
      <c r="AU60" s="4">
        <f>SUMIFS( E4:E451, F4:F451,"Hombre", C4:C451,"Dinámica de Flujos Biogeoquímicos y sus Aplicaciones")</f>
        <v>39</v>
      </c>
      <c r="AV60" s="4">
        <f>SUMIFS( E4:E451, F4:F451,"Mujer", C4:C451,"Dinámica de Flujos Biogeoquímicos y sus Aplicaciones")</f>
        <v>30</v>
      </c>
      <c r="AW60" s="28">
        <f>SUMIFS( E4:E451, A4:A451,"2013", C4:C451,"Dinámica de Flujos Biogeoquímicos y sus Aplicaciones")</f>
        <v>0</v>
      </c>
      <c r="AX60" s="4">
        <f>SUMIFS( E4:E451, A4:A451,"2014", C4:C451,"Dinámica de Flujos Biogeoquímicos y sus Aplicaciones")</f>
        <v>23</v>
      </c>
      <c r="AY60" s="4">
        <f>SUMIFS( E4:E451, A4:A451,"2015", C4:C451,"Dinámica de Flujos Biogeoquímicos y sus Aplicaciones")</f>
        <v>0</v>
      </c>
      <c r="AZ60" s="4">
        <f>SUMIFS( E4:E451, A4:A451,"2016", C4:C451,"Dinámica de Flujos Biogeoquímicos y sus Aplicaciones")</f>
        <v>13</v>
      </c>
      <c r="BA60" s="4">
        <f>SUMIFS( E4:E451, A4:A451,"2017", C4:C451,"Dinámica de Flujos Biogeoquímicos y sus Aplicaciones")</f>
        <v>33</v>
      </c>
      <c r="BB60" s="28">
        <f>SUMIFS( E4:E451, N4:N451,"2014", C4:C451,"Dinámica de Flujos Biogeoquímicos y sus Aplicaciones")</f>
        <v>0</v>
      </c>
      <c r="BC60" s="4">
        <f>SUMIFS( E4:E451, N4:N451,"2015", C4:C451,"Dinámica de Flujos Biogeoquímicos y sus Aplicaciones")</f>
        <v>23</v>
      </c>
      <c r="BD60" s="4">
        <f>SUMIFS( E4:E451, N4:N451,"2016", C4:C451,"Dinámica de Flujos Biogeoquímicos y sus Aplicaciones")</f>
        <v>12</v>
      </c>
      <c r="BE60" s="4">
        <f>SUMIFS( E4:E451, N4:N451,"2017", C4:C451,"Dinámica de Flujos Biogeoquímicos y sus Aplicaciones")</f>
        <v>26</v>
      </c>
      <c r="BF60" s="4">
        <f>SUMIFS( E4:E451, N4:N451,"2018", C4:C451,"Dinámica de Flujos Biogeoquímicos y sus Aplicaciones")</f>
        <v>8</v>
      </c>
      <c r="BG60" s="22">
        <f>AVERAGEIFS( E4:E451, C4:C451,"Dinámica de Flujos Biogeoquímicos y sus Aplicaciones")</f>
        <v>9.8571428571428577</v>
      </c>
      <c r="BH60" s="22">
        <v>0</v>
      </c>
      <c r="BI60" s="22">
        <f>AVERAGEIFS( E4:E451, A4:A451,"2014", C4:C451,"Dinámica de Flujos Biogeoquímicos y sus Aplicaciones")</f>
        <v>11.5</v>
      </c>
      <c r="BJ60" s="22">
        <v>0</v>
      </c>
      <c r="BK60" s="22">
        <f>AVERAGEIFS( E4:E451, A4:A451,"2016", C4:C451,"Dinámica de Flujos Biogeoquímicos y sus Aplicaciones")</f>
        <v>4.333333333333333</v>
      </c>
      <c r="BL60" s="22">
        <f>AVERAGEIFS( E4:E451, A4:A451,"2017", C4:C451,"Dinámica de Flujos Biogeoquímicos y sus Aplicaciones")</f>
        <v>16.5</v>
      </c>
      <c r="BM60" s="22">
        <f>AVERAGE(AT61:AT63)</f>
        <v>23</v>
      </c>
      <c r="BN60" s="22">
        <v>0</v>
      </c>
      <c r="BO60" s="22">
        <f>AVERAGE(AX61:AX63)</f>
        <v>7.666666666666667</v>
      </c>
      <c r="BP60" s="22">
        <f>AVERAGE(AY61:AY63)</f>
        <v>0</v>
      </c>
      <c r="BQ60" s="22">
        <f>AVERAGE(AZ61:AZ63)</f>
        <v>4.333333333333333</v>
      </c>
      <c r="BR60" s="22">
        <f>AVERAGE(BA61:BA63)</f>
        <v>11</v>
      </c>
    </row>
    <row r="61" spans="1:70" ht="15" customHeight="1" x14ac:dyDescent="0.25">
      <c r="A61">
        <v>2016</v>
      </c>
      <c r="B61" t="s">
        <v>4</v>
      </c>
      <c r="C61" t="s">
        <v>18</v>
      </c>
      <c r="D61" t="s">
        <v>21</v>
      </c>
      <c r="E61" s="17">
        <v>18</v>
      </c>
      <c r="F61" t="s">
        <v>215</v>
      </c>
      <c r="G61" t="s">
        <v>233</v>
      </c>
      <c r="H61" t="s">
        <v>233</v>
      </c>
      <c r="I61" t="s">
        <v>234</v>
      </c>
      <c r="J61" t="s">
        <v>234</v>
      </c>
      <c r="K61" t="s">
        <v>234</v>
      </c>
      <c r="L61" t="s">
        <v>234</v>
      </c>
      <c r="M61" s="14">
        <v>42893</v>
      </c>
      <c r="N61" s="14" t="str">
        <f t="shared" si="0"/>
        <v>2017</v>
      </c>
      <c r="O61" s="55" t="s">
        <v>89</v>
      </c>
      <c r="P61" s="56"/>
      <c r="Q61" s="56"/>
      <c r="R61" s="56"/>
      <c r="S61" s="56"/>
      <c r="T61" s="57"/>
      <c r="U61" s="5">
        <f>COUNTIFS(   D4:D451,"Gestión integral de recursos atmosféricos y marinos y de las infraestructuras para su aprovechamiento")</f>
        <v>3</v>
      </c>
      <c r="V61" s="5">
        <f>COUNTIFS(   D4:D451,"Gestión integral de recursos atmosféricos y marinos y de las infraestructuras para su aprovechamiento",F4:F451,"Hombre")</f>
        <v>2</v>
      </c>
      <c r="W61" s="5">
        <f>COUNTIFS(   D4:D451,"Gestión integral de recursos atmosféricos y marinos y de las infraestructuras para su aprovechamiento",F4:F451,"Mujer")</f>
        <v>1</v>
      </c>
      <c r="X61" s="29">
        <f>COUNTIFS(   A4:A451,"2013", D4:D451,"Gestión integral de recursos atmosféricos y marinos y de las infraestructuras para su aprovechamiento")</f>
        <v>0</v>
      </c>
      <c r="Y61" s="5">
        <f>COUNTIFS(   A4:A451,"2014", D4:D451,"Gestión integral de recursos atmosféricos y marinos y de las infraestructuras para su aprovechamiento")</f>
        <v>1</v>
      </c>
      <c r="Z61" s="5">
        <f>COUNTIFS(   A4:A451,"2015", D4:D451,"Gestión integral de recursos atmosféricos y marinos y de las infraestructuras para su aprovechamiento")</f>
        <v>0</v>
      </c>
      <c r="AA61" s="5">
        <f>COUNTIFS(   A4:A451,"2016", D4:D451,"Gestión integral de recursos atmosféricos y marinos y de las infraestructuras para su aprovechamiento")</f>
        <v>1</v>
      </c>
      <c r="AB61" s="5">
        <f>COUNTIFS(   A4:A451,"2017", D4:D451,"Gestión integral de recursos atmosféricos y marinos y de las infraestructuras para su aprovechamiento")</f>
        <v>1</v>
      </c>
      <c r="AC61" s="29">
        <f>COUNTIFS(   N4:N451,"2014", D4:D451,"Gestión integral de recursos atmosféricos y marinos y de las infraestructuras para su aprovechamiento")</f>
        <v>0</v>
      </c>
      <c r="AD61" s="5">
        <f>COUNTIFS(   N4:N451,"2015", D4:D451,"Gestión integral de recursos atmosféricos y marinos y de las infraestructuras para su aprovechamiento")</f>
        <v>1</v>
      </c>
      <c r="AE61" s="5">
        <f>COUNTIFS(   N4:N451,"2016", D4:D451,"Gestión integral de recursos atmosféricos y marinos y de las infraestructuras para su aprovechamiento")</f>
        <v>0</v>
      </c>
      <c r="AF61" s="5">
        <f>COUNTIFS(   N4:N451,"2017", D4:D451,"Gestión integral de recursos atmosféricos y marinos y de las infraestructuras para su aprovechamiento")</f>
        <v>1</v>
      </c>
      <c r="AG61" s="5">
        <f>COUNTIFS(   N4:N451,"2018", D4:D451,"Gestión integral de recursos atmosféricos y marinos y de las infraestructuras para su aprovechamiento")</f>
        <v>1</v>
      </c>
      <c r="AH61" s="5">
        <f>COUNTIFS(   D4:D451,"Gestión integral de recursos atmosféricos y marinos y de las infraestructuras para su aprovechamiento",G4:G451,"Sí")</f>
        <v>1</v>
      </c>
      <c r="AI61" s="5">
        <f>COUNTIFS(   D4:D451,"Gestión integral de recursos atmosféricos y marinos y de las infraestructuras para su aprovechamiento",G4:G451,"No")</f>
        <v>2</v>
      </c>
      <c r="AJ61" s="5">
        <f>SUMIFS( E4:E451, D4:D451,"Gestión integral de recursos atmosféricos y marinos y de las infraestructuras para su aprovechamiento",G4:G451,"Sí")</f>
        <v>8</v>
      </c>
      <c r="AK61" s="5">
        <f>SUMIFS( E4:E451, D4:D451,"Gestión integral de recursos atmosféricos y marinos y de las infraestructuras para su aprovechamiento",G4:G451,"No")</f>
        <v>7</v>
      </c>
      <c r="AL61" s="5">
        <f>COUNTIFS(   D4:D451,"Gestión integral de recursos atmosféricos y marinos y de las infraestructuras para su aprovechamiento",H4:H451,"Sí")</f>
        <v>1</v>
      </c>
      <c r="AM61" s="5">
        <f>COUNTIFS(   D4:D451,"Gestión integral de recursos atmosféricos y marinos y de las infraestructuras para su aprovechamiento",I4:I451,"Sí")</f>
        <v>1</v>
      </c>
      <c r="AN61" s="5">
        <f>COUNTIFS(   D4:D451,"Gestión integral de recursos atmosféricos y marinos y de las infraestructuras para su aprovechamiento",I4:I451,"No")</f>
        <v>2</v>
      </c>
      <c r="AO61" s="5">
        <f>SUMIFS( E4:E451, D4:D451,"Gestión integral de recursos atmosféricos y marinos y de las infraestructuras para su aprovechamiento",I4:I451,"Sí")</f>
        <v>6</v>
      </c>
      <c r="AP61" s="5">
        <f>SUMIFS( E4:E451, D4:D451,"Gestión integral de recursos atmosféricos y marinos y de las infraestructuras para su aprovechamiento",I4:I451,"No")</f>
        <v>9</v>
      </c>
      <c r="AQ61" s="5">
        <f>COUNTIFS(   D4:D451,"Gestión integral de recursos atmosféricos y marinos y de las infraestructuras para su aprovechamiento",J4:J451,"Sí")</f>
        <v>3</v>
      </c>
      <c r="AR61" s="5">
        <f>COUNTIFS(   D4:D451,"Gestión integral de recursos atmosféricos y marinos y de las infraestructuras para su aprovechamiento",K4:K451,"Sí")</f>
        <v>1</v>
      </c>
      <c r="AS61" s="5">
        <f>COUNTIFS(   D4:D451,"Gestión integral de recursos atmosféricos y marinos y de las infraestructuras para su aprovechamiento",L4:L451,"Sí")</f>
        <v>3</v>
      </c>
      <c r="AT61" s="5">
        <f>SUMIFS( E4:E451, D4:D451,"Gestión integral de recursos atmosféricos y marinos y de las infraestructuras para su aprovechamiento")</f>
        <v>15</v>
      </c>
      <c r="AU61" s="5">
        <f>SUMIFS( E4:E451, F4:F451,"Hombre", D4:D451,"Gestión integral de recursos atmosféricos y marinos y de las infraestructuras para su aprovechamiento")</f>
        <v>7</v>
      </c>
      <c r="AV61" s="5">
        <f>SUMIFS( E4:E451, F4:F451,"Mujer", D4:D451,"Gestión integral de recursos atmosféricos y marinos y de las infraestructuras para su aprovechamiento")</f>
        <v>8</v>
      </c>
      <c r="AW61" s="29">
        <f>SUMIFS( E4:E451, A4:A451,"2013", D4:D451,"Gestión integral de recursos atmosféricos y marinos y de las infraestructuras para su aprovechamiento")</f>
        <v>0</v>
      </c>
      <c r="AX61" s="5">
        <f>SUMIFS( E4:E451, A4:A451,"2014", D4:D451,"Gestión integral de recursos atmosféricos y marinos y de las infraestructuras para su aprovechamiento")</f>
        <v>6</v>
      </c>
      <c r="AY61" s="5">
        <f>SUMIFS( E4:E451, A4:A451,"2015", D4:D451,"Gestión integral de recursos atmosféricos y marinos y de las infraestructuras para su aprovechamiento")</f>
        <v>0</v>
      </c>
      <c r="AZ61" s="5">
        <f>SUMIFS( E4:E451, A4:A451,"2016", D4:D451,"Gestión integral de recursos atmosféricos y marinos y de las infraestructuras para su aprovechamiento")</f>
        <v>1</v>
      </c>
      <c r="BA61" s="5">
        <f>SUMIFS( E4:E451, A4:A451,"2017", D4:D451,"Gestión integral de recursos atmosféricos y marinos y de las infraestructuras para su aprovechamiento")</f>
        <v>8</v>
      </c>
      <c r="BB61" s="29">
        <f>SUMIFS( E4:E451, N4:N451,"2014", D4:D451,"Gestión integral de recursos atmosféricos y marinos y de las infraestructuras para su aprovechamiento")</f>
        <v>0</v>
      </c>
      <c r="BC61" s="5">
        <f>SUMIFS( E4:E451, N4:N451,"2015", D4:D451,"Gestión integral de recursos atmosféricos y marinos y de las infraestructuras para su aprovechamiento")</f>
        <v>6</v>
      </c>
      <c r="BD61" s="5">
        <f>SUMIFS( E4:E451, N4:N451,"2016", D4:D451,"Gestión integral de recursos atmosféricos y marinos y de las infraestructuras para su aprovechamiento")</f>
        <v>0</v>
      </c>
      <c r="BE61" s="5">
        <f>SUMIFS( E4:E451, N4:N451,"2017", D4:D451,"Gestión integral de recursos atmosféricos y marinos y de las infraestructuras para su aprovechamiento")</f>
        <v>1</v>
      </c>
      <c r="BF61" s="5">
        <f>SUMIFS( E4:E451, N4:N451,"2018", D4:D451,"Gestión integral de recursos atmosféricos y marinos y de las infraestructuras para su aprovechamiento")</f>
        <v>8</v>
      </c>
      <c r="BG61" s="23">
        <f>AVERAGEIFS( E4:E451, D4:D451,"Gestión integral de recursos atmosféricos y marinos y de las infraestructuras para su aprovechamiento")</f>
        <v>5</v>
      </c>
      <c r="BH61" s="23">
        <v>0</v>
      </c>
      <c r="BI61" s="23">
        <f>AVERAGEIFS( E4:E451, A4:A451,"2014", D4:D451,"Gestión integral de recursos atmosféricos y marinos y de las infraestructuras para su aprovechamiento")</f>
        <v>6</v>
      </c>
      <c r="BJ61" s="23">
        <v>0</v>
      </c>
      <c r="BK61" s="23">
        <f>AVERAGEIFS( E4:E451, A4:A451,"2016", D4:D451,"Gestión integral de recursos atmosféricos y marinos y de las infraestructuras para su aprovechamiento")</f>
        <v>1</v>
      </c>
      <c r="BL61" s="23">
        <f>AVERAGEIFS( E4:E451, A4:A451,"2017", D4:D451,"Gestión integral de recursos atmosféricos y marinos y de las infraestructuras para su aprovechamiento")</f>
        <v>8</v>
      </c>
      <c r="BM61" s="23">
        <v>5</v>
      </c>
      <c r="BN61" s="23">
        <v>0</v>
      </c>
      <c r="BO61" s="23">
        <v>6</v>
      </c>
      <c r="BP61" s="23">
        <v>0</v>
      </c>
      <c r="BQ61" s="23">
        <v>1</v>
      </c>
      <c r="BR61" s="23">
        <v>8</v>
      </c>
    </row>
    <row r="62" spans="1:70" ht="15" customHeight="1" x14ac:dyDescent="0.25">
      <c r="A62">
        <v>2016</v>
      </c>
      <c r="B62" t="s">
        <v>4</v>
      </c>
      <c r="C62" t="s">
        <v>18</v>
      </c>
      <c r="D62" t="s">
        <v>22</v>
      </c>
      <c r="E62">
        <v>5</v>
      </c>
      <c r="F62" t="s">
        <v>215</v>
      </c>
      <c r="G62" t="s">
        <v>233</v>
      </c>
      <c r="H62" t="s">
        <v>233</v>
      </c>
      <c r="I62" t="s">
        <v>233</v>
      </c>
      <c r="J62" t="s">
        <v>234</v>
      </c>
      <c r="K62" t="s">
        <v>233</v>
      </c>
      <c r="L62" t="s">
        <v>234</v>
      </c>
      <c r="M62" s="14">
        <v>42878</v>
      </c>
      <c r="N62" s="14" t="str">
        <f t="shared" si="0"/>
        <v>2017</v>
      </c>
      <c r="O62" s="55" t="s">
        <v>91</v>
      </c>
      <c r="P62" s="56"/>
      <c r="Q62" s="56"/>
      <c r="R62" s="56"/>
      <c r="S62" s="56"/>
      <c r="T62" s="57"/>
      <c r="U62" s="5">
        <f>COUNTIFS(   D4:D451,"Oceanografía física y ecosistemas marinos")</f>
        <v>1</v>
      </c>
      <c r="V62" s="5">
        <f>COUNTIFS(   D4:D451,"Oceanografía física y ecosistemas marinos",F4:F451,"Hombre")</f>
        <v>0</v>
      </c>
      <c r="W62" s="5">
        <f>COUNTIFS(   D4:D451,"Oceanografía física y ecosistemas marinos",F4:F451,"Mujer")</f>
        <v>1</v>
      </c>
      <c r="X62" s="29">
        <f>COUNTIFS(   A4:A451,"2013", D4:D451,"Oceanografía física y ecosistemas marinos")</f>
        <v>0</v>
      </c>
      <c r="Y62" s="5">
        <f>COUNTIFS(   A4:A451,"2014", D4:D451,"Oceanografía física y ecosistemas marinos")</f>
        <v>1</v>
      </c>
      <c r="Z62" s="5">
        <f>COUNTIFS(   A4:A451,"2015", D4:D451,"Oceanografía física y ecosistemas marinos")</f>
        <v>0</v>
      </c>
      <c r="AA62" s="5">
        <f>COUNTIFS(   A4:A451,"2016", D4:D451,"Oceanografía física y ecosistemas marinos")</f>
        <v>0</v>
      </c>
      <c r="AB62" s="5">
        <f>COUNTIFS(   A4:A451,"2017", D4:D451,"Oceanografía física y ecosistemas marinos")</f>
        <v>0</v>
      </c>
      <c r="AC62" s="29">
        <f>COUNTIFS(   N4:N451,"2014", D4:D451,"Oceanografía física y ecosistemas marinos")</f>
        <v>0</v>
      </c>
      <c r="AD62" s="5">
        <f>COUNTIFS(   N4:N451,"2015", D4:D451,"Oceanografía física y ecosistemas marinos")</f>
        <v>1</v>
      </c>
      <c r="AE62" s="5">
        <f>COUNTIFS(   N4:N451,"2016", D4:D451,"Oceanografía física y ecosistemas marinos")</f>
        <v>0</v>
      </c>
      <c r="AF62" s="5">
        <f>COUNTIFS(   N4:N451,"2017", D4:D451,"Oceanografía física y ecosistemas marinos")</f>
        <v>0</v>
      </c>
      <c r="AG62" s="5">
        <f>COUNTIFS(   N4:N451,"2018", D4:D451,"Oceanografía física y ecosistemas marinos")</f>
        <v>0</v>
      </c>
      <c r="AH62" s="5">
        <f>COUNTIFS(   D4:D451,"Oceanografía física y ecosistemas marinos",G4:G451,"Sí")</f>
        <v>0</v>
      </c>
      <c r="AI62" s="5">
        <f>COUNTIFS(   D4:D451,"Oceanografía física y ecosistemas marinos",G4:G451,"No")</f>
        <v>1</v>
      </c>
      <c r="AJ62" s="5">
        <f>SUMIFS( E4:E451, D4:D451,"Oceanografía física y ecosistemas marinos",G4:G451,"Sí")</f>
        <v>0</v>
      </c>
      <c r="AK62" s="5">
        <f>SUMIFS( E4:E451, D4:D451,"Oceanografía física y ecosistemas marinos",G4:G451,"No")</f>
        <v>17</v>
      </c>
      <c r="AL62" s="5">
        <f>COUNTIFS(   D4:D451,"Oceanografía física y ecosistemas marinos",H4:H451,"Sí")</f>
        <v>0</v>
      </c>
      <c r="AM62" s="5">
        <f>COUNTIFS(   D4:D451,"Oceanografía física y ecosistemas marinos",I4:I451,"Sí")</f>
        <v>0</v>
      </c>
      <c r="AN62" s="5">
        <f>COUNTIFS(   D4:D451,"Oceanografía física y ecosistemas marinos",I4:I451,"No")</f>
        <v>1</v>
      </c>
      <c r="AO62" s="5">
        <f>SUMIFS( E4:E451, D4:D451,"Oceanografía física y ecosistemas marinos",I4:I451,"Sí")</f>
        <v>0</v>
      </c>
      <c r="AP62" s="5">
        <f>SUMIFS( E4:E451, D4:D451,"Oceanografía física y ecosistemas marinos",I4:I451,"No")</f>
        <v>17</v>
      </c>
      <c r="AQ62" s="5">
        <f>COUNTIFS(   D4:D451,"Oceanografía física y ecosistemas marinos",J4:J451,"Sí")</f>
        <v>1</v>
      </c>
      <c r="AR62" s="5">
        <f>COUNTIFS(   D4:D451,"Oceanografía física y ecosistemas marinos",K4:K451,"Sí")</f>
        <v>0</v>
      </c>
      <c r="AS62" s="5">
        <f>COUNTIFS(   D4:D451,"Oceanografía física y ecosistemas marinos",L4:L451,"Sí")</f>
        <v>1</v>
      </c>
      <c r="AT62" s="5">
        <f>SUMIFS( E4:E451, D4:D451,"Oceanografía física y ecosistemas marinos")</f>
        <v>17</v>
      </c>
      <c r="AU62" s="5">
        <f>SUMIFS( E4:E451, F4:F451,"Hombre", D4:D451,"Oceanografía física y ecosistemas marinos")</f>
        <v>0</v>
      </c>
      <c r="AV62" s="5">
        <f>SUMIFS( E4:E451, F4:F451,"Mujer", D4:D451,"Oceanografía física y ecosistemas marinos")</f>
        <v>17</v>
      </c>
      <c r="AW62" s="29">
        <f>SUMIFS( E4:E451, A4:A451,"2013", D4:D451,"Oceanografía física y ecosistemas marinos")</f>
        <v>0</v>
      </c>
      <c r="AX62" s="5">
        <f>SUMIFS( E4:E451, A4:A451,"2014", D4:D451,"Oceanografía física y ecosistemas marinos")</f>
        <v>17</v>
      </c>
      <c r="AY62" s="5">
        <f>SUMIFS( E4:E451, A4:A451,"2015", D4:D451,"Oceanografía física y ecosistemas marinos")</f>
        <v>0</v>
      </c>
      <c r="AZ62" s="5">
        <f>SUMIFS( E4:E451, A4:A451,"2016", D4:D451,"Oceanografía física y ecosistemas marinos")</f>
        <v>0</v>
      </c>
      <c r="BA62" s="5">
        <f>SUMIFS( E4:E451, A4:A451,"2017", D4:D451,"Oceanografía física y ecosistemas marinos")</f>
        <v>0</v>
      </c>
      <c r="BB62" s="29">
        <f>SUMIFS( E4:E451, N4:N451,"2014", D4:D451,"Oceanografía física y ecosistemas marinos")</f>
        <v>0</v>
      </c>
      <c r="BC62" s="5">
        <f>SUMIFS( E4:E451, N4:N451,"2015", D4:D451,"Oceanografía física y ecosistemas marinos")</f>
        <v>17</v>
      </c>
      <c r="BD62" s="5">
        <f>SUMIFS( E4:E451, N4:N451,"2016", D4:D451,"Oceanografía física y ecosistemas marinos")</f>
        <v>0</v>
      </c>
      <c r="BE62" s="5">
        <f>SUMIFS( E4:E451, N4:N451,"2017", D4:D451,"Oceanografía física y ecosistemas marinos")</f>
        <v>0</v>
      </c>
      <c r="BF62" s="5">
        <f>SUMIFS( E4:E451, N4:N451,"2018", D4:D451,"Oceanografía física y ecosistemas marinos")</f>
        <v>0</v>
      </c>
      <c r="BG62" s="23">
        <f>AVERAGEIFS( E4:E451, D4:D451,"Oceanografía física y ecosistemas marinos")</f>
        <v>17</v>
      </c>
      <c r="BH62" s="23">
        <v>0</v>
      </c>
      <c r="BI62" s="23">
        <f>AVERAGEIFS( E4:E451, A4:A451,"2014", D4:D451,"Oceanografía física y ecosistemas marinos")</f>
        <v>17</v>
      </c>
      <c r="BJ62" s="23">
        <v>0</v>
      </c>
      <c r="BK62" s="23">
        <v>0</v>
      </c>
      <c r="BL62" s="23">
        <v>0</v>
      </c>
      <c r="BM62" s="23">
        <v>17</v>
      </c>
      <c r="BN62" s="23">
        <v>0</v>
      </c>
      <c r="BO62" s="23">
        <v>17</v>
      </c>
      <c r="BP62" s="23">
        <v>0</v>
      </c>
      <c r="BQ62" s="23">
        <v>0</v>
      </c>
      <c r="BR62" s="23">
        <v>0</v>
      </c>
    </row>
    <row r="63" spans="1:70" ht="15" customHeight="1" x14ac:dyDescent="0.25">
      <c r="A63">
        <v>2016</v>
      </c>
      <c r="B63" t="s">
        <v>4</v>
      </c>
      <c r="C63" t="s">
        <v>18</v>
      </c>
      <c r="D63" t="s">
        <v>19</v>
      </c>
      <c r="E63">
        <v>2</v>
      </c>
      <c r="F63" t="s">
        <v>215</v>
      </c>
      <c r="G63" t="s">
        <v>233</v>
      </c>
      <c r="H63" t="s">
        <v>233</v>
      </c>
      <c r="I63" t="s">
        <v>234</v>
      </c>
      <c r="J63" t="s">
        <v>234</v>
      </c>
      <c r="K63" t="s">
        <v>233</v>
      </c>
      <c r="L63" t="s">
        <v>234</v>
      </c>
      <c r="M63" s="14">
        <v>42867</v>
      </c>
      <c r="N63" s="14" t="str">
        <f t="shared" si="0"/>
        <v>2017</v>
      </c>
      <c r="O63" s="55" t="s">
        <v>90</v>
      </c>
      <c r="P63" s="56"/>
      <c r="Q63" s="56"/>
      <c r="R63" s="56"/>
      <c r="S63" s="56"/>
      <c r="T63" s="57"/>
      <c r="U63" s="5">
        <f>COUNTIFS(   D4:D451,"Procesos litorales y evolución de los sistemas costeros")</f>
        <v>3</v>
      </c>
      <c r="V63" s="5">
        <f>COUNTIFS(   D4:D451,"Procesos litorales y evolución de los sistemas costeros",F4:F451,"Hombre")</f>
        <v>2</v>
      </c>
      <c r="W63" s="5">
        <f>COUNTIFS(   D4:D451,"Procesos litorales y evolución de los sistemas costeros",F4:F451,"Mujer")</f>
        <v>1</v>
      </c>
      <c r="X63" s="29">
        <f>COUNTIFS(   A4:A451,"2013", D4:D451,"Procesos litorales y evolución de los sistemas costeros")</f>
        <v>0</v>
      </c>
      <c r="Y63" s="5">
        <f>COUNTIFS(   A4:A451,"2014", D4:D451,"Procesos litorales y evolución de los sistemas costeros")</f>
        <v>0</v>
      </c>
      <c r="Z63" s="5">
        <f>COUNTIFS(   A4:A451,"2015", D4:D451,"Procesos litorales y evolución de los sistemas costeros")</f>
        <v>0</v>
      </c>
      <c r="AA63" s="5">
        <f>COUNTIFS(   A4:A451,"2016", D4:D451,"Procesos litorales y evolución de los sistemas costeros")</f>
        <v>2</v>
      </c>
      <c r="AB63" s="5">
        <f>COUNTIFS(   A4:A451,"2017", D4:D451,"Procesos litorales y evolución de los sistemas costeros")</f>
        <v>1</v>
      </c>
      <c r="AC63" s="29">
        <f>COUNTIFS(   N4:N451,"2014", D4:D451,"Procesos litorales y evolución de los sistemas costeros")</f>
        <v>0</v>
      </c>
      <c r="AD63" s="5">
        <f>COUNTIFS(   N4:N451,"2015", D4:D451,"Procesos litorales y evolución de los sistemas costeros")</f>
        <v>0</v>
      </c>
      <c r="AE63" s="5">
        <f>COUNTIFS(   N4:N451,"2016", D4:D451,"Procesos litorales y evolución de los sistemas costeros")</f>
        <v>2</v>
      </c>
      <c r="AF63" s="5">
        <f>COUNTIFS(   N4:N451,"2017", D4:D451,"Procesos litorales y evolución de los sistemas costeros")</f>
        <v>1</v>
      </c>
      <c r="AG63" s="5">
        <f>COUNTIFS(   N4:N451,"2018", D4:D451,"Procesos litorales y evolución de los sistemas costeros")</f>
        <v>0</v>
      </c>
      <c r="AH63" s="5">
        <f>COUNTIFS(   D4:D451,"Procesos litorales y evolución de los sistemas costeros",G4:G451,"Sí")</f>
        <v>0</v>
      </c>
      <c r="AI63" s="5">
        <f>COUNTIFS(   D4:D451,"Procesos litorales y evolución de los sistemas costeros",G4:G451,"No")</f>
        <v>3</v>
      </c>
      <c r="AJ63" s="5">
        <f>SUMIFS( E4:E451, D4:D451,"Procesos litorales y evolución de los sistemas costeros",G4:G451,"Sí")</f>
        <v>0</v>
      </c>
      <c r="AK63" s="5">
        <f>SUMIFS( E4:E451, D4:D451,"Procesos litorales y evolución de los sistemas costeros",G4:G451,"No")</f>
        <v>37</v>
      </c>
      <c r="AL63" s="5">
        <f>COUNTIFS(   D4:D451,"Procesos litorales y evolución de los sistemas costeros",H4:H451,"Sí")</f>
        <v>2</v>
      </c>
      <c r="AM63" s="5">
        <f>COUNTIFS(   D4:D451,"Procesos litorales y evolución de los sistemas costeros",I4:I451,"Sí")</f>
        <v>2</v>
      </c>
      <c r="AN63" s="5">
        <f>COUNTIFS(   D4:D451,"Procesos litorales y evolución de los sistemas costeros",I4:I451,"No")</f>
        <v>1</v>
      </c>
      <c r="AO63" s="5">
        <f>SUMIFS( E4:E451, D4:D451,"Procesos litorales y evolución de los sistemas costeros",I4:I451,"Sí")</f>
        <v>32</v>
      </c>
      <c r="AP63" s="5">
        <f>SUMIFS( E4:E451, D4:D451,"Procesos litorales y evolución de los sistemas costeros",I4:I451,"No")</f>
        <v>5</v>
      </c>
      <c r="AQ63" s="5">
        <f>COUNTIFS(   D4:D451,"Procesos litorales y evolución de los sistemas costeros",J4:J451,"Sí")</f>
        <v>3</v>
      </c>
      <c r="AR63" s="5">
        <f>COUNTIFS(   D4:D451,"Procesos litorales y evolución de los sistemas costeros",K4:K451,"Sí")</f>
        <v>1</v>
      </c>
      <c r="AS63" s="5">
        <f>COUNTIFS(   D4:D451,"Procesos litorales y evolución de los sistemas costeros",L4:L451,"Sí")</f>
        <v>3</v>
      </c>
      <c r="AT63" s="5">
        <f>SUMIFS( E4:E451, D4:D451,"Procesos litorales y evolución de los sistemas costeros")</f>
        <v>37</v>
      </c>
      <c r="AU63" s="5">
        <f>SUMIFS( E4:E451, F4:F451,"Hombre", D4:D451,"Procesos litorales y evolución de los sistemas costeros")</f>
        <v>32</v>
      </c>
      <c r="AV63" s="5">
        <f>SUMIFS( E4:E451, F4:F451,"Mujer", D4:D451,"Procesos litorales y evolución de los sistemas costeros")</f>
        <v>5</v>
      </c>
      <c r="AW63" s="29">
        <f>SUMIFS( E4:E451, A4:A451,"2013", D4:D451,"Procesos litorales y evolución de los sistemas costeros")</f>
        <v>0</v>
      </c>
      <c r="AX63" s="5">
        <f>SUMIFS( E4:E451, A4:A451,"2014", D4:D451,"Procesos litorales y evolución de los sistemas costeros")</f>
        <v>0</v>
      </c>
      <c r="AY63" s="5">
        <f>SUMIFS( E4:E451, A4:A451,"2015", D4:D451,"Procesos litorales y evolución de los sistemas costeros")</f>
        <v>0</v>
      </c>
      <c r="AZ63" s="5">
        <f>SUMIFS( E4:E451, A4:A451,"2016", D4:D451,"Procesos litorales y evolución de los sistemas costeros")</f>
        <v>12</v>
      </c>
      <c r="BA63" s="5">
        <f>SUMIFS( E4:E451, A4:A451,"2017", D4:D451,"Procesos litorales y evolución de los sistemas costeros")</f>
        <v>25</v>
      </c>
      <c r="BB63" s="29">
        <f>SUMIFS( E4:E451, N4:N451,"2014", D4:D451,"Procesos litorales y evolución de los sistemas costeros")</f>
        <v>0</v>
      </c>
      <c r="BC63" s="5">
        <f>SUMIFS( E4:E451, N4:N451,"2015", D4:D451,"Procesos litorales y evolución de los sistemas costeros")</f>
        <v>0</v>
      </c>
      <c r="BD63" s="5">
        <f>SUMIFS( E4:E451, N4:N451,"2016", D4:D451,"Procesos litorales y evolución de los sistemas costeros")</f>
        <v>12</v>
      </c>
      <c r="BE63" s="5">
        <f>SUMIFS( E4:E451, N4:N451,"2017", D4:D451,"Procesos litorales y evolución de los sistemas costeros")</f>
        <v>25</v>
      </c>
      <c r="BF63" s="5">
        <f>SUMIFS( E4:E451, N4:N451,"2018", D4:D451,"Procesos litorales y evolución de los sistemas costeros")</f>
        <v>0</v>
      </c>
      <c r="BG63" s="23">
        <f>AVERAGEIFS( E4:E451, D4:D451,"Procesos litorales y evolución de los sistemas costeros")</f>
        <v>12.333333333333334</v>
      </c>
      <c r="BH63" s="23">
        <v>0</v>
      </c>
      <c r="BI63" s="23">
        <v>0</v>
      </c>
      <c r="BJ63" s="23">
        <v>0</v>
      </c>
      <c r="BK63" s="23">
        <f>AVERAGEIFS( E4:E451, A4:A451,"2016", D4:D451,"Procesos litorales y evolución de los sistemas costeros")</f>
        <v>6</v>
      </c>
      <c r="BL63" s="23">
        <f>AVERAGEIFS( E4:E451, A4:A451,"2017", D4:D451,"Procesos litorales y evolución de los sistemas costeros")</f>
        <v>25</v>
      </c>
      <c r="BM63" s="23">
        <v>12.333333333333334</v>
      </c>
      <c r="BN63" s="23">
        <v>0</v>
      </c>
      <c r="BO63" s="23">
        <v>0</v>
      </c>
      <c r="BP63" s="23">
        <v>0</v>
      </c>
      <c r="BQ63" s="23">
        <v>6</v>
      </c>
      <c r="BR63" s="23">
        <v>25</v>
      </c>
    </row>
    <row r="64" spans="1:70" ht="15" customHeight="1" x14ac:dyDescent="0.25">
      <c r="A64">
        <v>2016</v>
      </c>
      <c r="B64" t="s">
        <v>4</v>
      </c>
      <c r="C64" t="s">
        <v>18</v>
      </c>
      <c r="D64" t="s">
        <v>22</v>
      </c>
      <c r="E64">
        <v>5</v>
      </c>
      <c r="F64" t="s">
        <v>215</v>
      </c>
      <c r="G64" t="s">
        <v>233</v>
      </c>
      <c r="H64" t="s">
        <v>233</v>
      </c>
      <c r="I64" t="s">
        <v>233</v>
      </c>
      <c r="J64" t="s">
        <v>234</v>
      </c>
      <c r="K64" t="s">
        <v>233</v>
      </c>
      <c r="L64" t="s">
        <v>234</v>
      </c>
      <c r="M64" s="14">
        <v>42825</v>
      </c>
      <c r="N64" s="14" t="str">
        <f t="shared" si="0"/>
        <v>2017</v>
      </c>
      <c r="O64" s="6" t="s">
        <v>62</v>
      </c>
      <c r="P64" s="7"/>
      <c r="Q64" s="7"/>
      <c r="R64" s="7"/>
      <c r="S64" s="7"/>
      <c r="T64" s="8"/>
      <c r="U64" s="4">
        <f>COUNTIFS(   C4:C451,"Estadística Matemática y Aplicada")</f>
        <v>2</v>
      </c>
      <c r="V64" s="4">
        <f>COUNTIFS(   C4:C451,"Estadística Matemática y Aplicada",F4:F451,"Hombre")</f>
        <v>2</v>
      </c>
      <c r="W64" s="4">
        <f>COUNTIFS(   C4:C451,"Estadística Matemática y Aplicada",F4:F451,"Mujer")</f>
        <v>0</v>
      </c>
      <c r="X64" s="28">
        <f>COUNTIFS(   A4:A451,"2013", C4:C451,"Estadística Matemática y Aplicada")</f>
        <v>0</v>
      </c>
      <c r="Y64" s="4">
        <f>COUNTIFS(   A4:A451,"2014", C4:C451,"Estadística Matemática y Aplicada")</f>
        <v>0</v>
      </c>
      <c r="Z64" s="4">
        <f>COUNTIFS(   A4:A451,"2015", C4:C451,"Estadística Matemática y Aplicada")</f>
        <v>0</v>
      </c>
      <c r="AA64" s="4">
        <f>COUNTIFS(   A4:A451,"2016", C4:C451,"Estadística Matemática y Aplicada")</f>
        <v>1</v>
      </c>
      <c r="AB64" s="4">
        <f>COUNTIFS(   A4:A451,"2017", C4:C451,"Estadística Matemática y Aplicada")</f>
        <v>1</v>
      </c>
      <c r="AC64" s="28">
        <f>COUNTIFS(   N4:N451,"2014", C4:C451,"Estadística Matemática y Aplicada")</f>
        <v>0</v>
      </c>
      <c r="AD64" s="4">
        <f>COUNTIFS(   N4:N451,"2015", C4:C451,"Estadística Matemática y Aplicada")</f>
        <v>0</v>
      </c>
      <c r="AE64" s="4">
        <f>COUNTIFS(   N4:N451,"2016", C4:C451,"Estadística Matemática y Aplicada")</f>
        <v>0</v>
      </c>
      <c r="AF64" s="4">
        <f>COUNTIFS(   N4:N451,"2017", C4:C451,"Estadística Matemática y Aplicada")</f>
        <v>2</v>
      </c>
      <c r="AG64" s="4">
        <f>COUNTIFS(   N4:N451,"2018", C4:C451,"Estadística Matemática y Aplicada")</f>
        <v>0</v>
      </c>
      <c r="AH64" s="4">
        <f>COUNTIFS(   C4:C451,"Estadística Matemática y Aplicada",G4:G451,"Sí")</f>
        <v>0</v>
      </c>
      <c r="AI64" s="4">
        <f>COUNTIFS(   C4:C451,"Estadística Matemática y Aplicada",G4:G451,"No")</f>
        <v>2</v>
      </c>
      <c r="AJ64" s="4">
        <f>SUMIFS( E4:E451, C4:C451,"Estadística Matemática y Aplicada",G4:G451,"Sí")</f>
        <v>0</v>
      </c>
      <c r="AK64" s="4">
        <f>SUMIFS( E4:E451, C4:C451,"Estadística Matemática y Aplicada",G4:G451,"No")</f>
        <v>4</v>
      </c>
      <c r="AL64" s="4">
        <f>COUNTIFS(   C4:C451,"Estadística Matemática y Aplicada",H4:H451,"Sí")</f>
        <v>0</v>
      </c>
      <c r="AM64" s="4">
        <f>COUNTIFS(   C4:C451,"Estadística Matemática y Aplicada",I4:I451,"Sí")</f>
        <v>0</v>
      </c>
      <c r="AN64" s="4">
        <f>COUNTIFS(   C4:C451,"Estadística Matemática y Aplicada",I4:I451,"No")</f>
        <v>2</v>
      </c>
      <c r="AO64" s="4">
        <f>SUMIFS( E4:E451, C4:C451,"Estadística Matemática y Aplicada",I4:I451,"Sí")</f>
        <v>0</v>
      </c>
      <c r="AP64" s="4">
        <f>SUMIFS( E4:E451, C4:C451,"Estadística Matemática y Aplicada",I4:I451,"No")</f>
        <v>4</v>
      </c>
      <c r="AQ64" s="4">
        <f>COUNTIFS(   C4:C451,"Estadística Matemática y Aplicada",J4:J451,"Sí")</f>
        <v>1</v>
      </c>
      <c r="AR64" s="4">
        <f>COUNTIFS(   C4:C451,"Estadística Matemática y Aplicada",K4:K451,"Sí")</f>
        <v>1</v>
      </c>
      <c r="AS64" s="4">
        <f>COUNTIFS(   C4:C451,"Estadística Matemática y Aplicada",L4:L451,"Sí")</f>
        <v>1</v>
      </c>
      <c r="AT64" s="4">
        <f>SUMIFS( E4:E451, C4:C451,"Estadística Matemática y Aplicada")</f>
        <v>4</v>
      </c>
      <c r="AU64" s="4">
        <f>SUMIFS( E4:E451, F4:F451,"Hombre", C4:C451,"Estadística Matemática y Aplicada")</f>
        <v>4</v>
      </c>
      <c r="AV64" s="4">
        <f>SUMIFS( E4:E451, F4:F451,"Mujer", C4:C451,"Estadística Matemática y Aplicada")</f>
        <v>0</v>
      </c>
      <c r="AW64" s="28">
        <f>SUMIFS( E4:E451, A4:A451,"2013", C4:C451,"Estadística Matemática y Aplicada")</f>
        <v>0</v>
      </c>
      <c r="AX64" s="4">
        <f>SUMIFS( E4:E451, A4:A451,"2014", C4:C451,"Estadística Matemática y Aplicada")</f>
        <v>0</v>
      </c>
      <c r="AY64" s="4">
        <f>SUMIFS( E4:E451, A4:A451,"2015", C4:C451,"Estadística Matemática y Aplicada")</f>
        <v>0</v>
      </c>
      <c r="AZ64" s="4">
        <f>SUMIFS( E4:E451, A4:A451,"2016", C4:C451,"Estadística Matemática y Aplicada")</f>
        <v>2</v>
      </c>
      <c r="BA64" s="4">
        <f>SUMIFS( E4:E451, A4:A451,"2017", C4:C451,"Estadística Matemática y Aplicada")</f>
        <v>2</v>
      </c>
      <c r="BB64" s="28">
        <f>SUMIFS( E4:E451, N4:N451,"2014", C4:C451,"Estadística Matemática y Aplicada")</f>
        <v>0</v>
      </c>
      <c r="BC64" s="4">
        <f>SUMIFS( E4:E451, N4:N451,"2015", C4:C451,"Estadística Matemática y Aplicada")</f>
        <v>0</v>
      </c>
      <c r="BD64" s="4">
        <f>SUMIFS( E4:E451, N4:N451,"2016", C4:C451,"Estadística Matemática y Aplicada")</f>
        <v>0</v>
      </c>
      <c r="BE64" s="4">
        <f>SUMIFS( E4:E451, N4:N451,"2017", C4:C451,"Estadística Matemática y Aplicada")</f>
        <v>4</v>
      </c>
      <c r="BF64" s="4">
        <f>SUMIFS( E4:E451, N4:N451,"2018", C4:C451,"Estadística Matemática y Aplicada")</f>
        <v>0</v>
      </c>
      <c r="BG64" s="22">
        <f>AVERAGEIFS( E4:E451, C4:C451,"Estadística Matemática y Aplicada")</f>
        <v>2</v>
      </c>
      <c r="BH64" s="22">
        <v>0</v>
      </c>
      <c r="BI64" s="22">
        <v>0</v>
      </c>
      <c r="BJ64" s="22">
        <v>0</v>
      </c>
      <c r="BK64" s="22">
        <f>AVERAGEIFS( E4:E451, A4:A451,"2016", C4:C451,"Estadística Matemática y Aplicada")</f>
        <v>2</v>
      </c>
      <c r="BL64" s="22">
        <f>AVERAGEIFS( E4:E451, A4:A451,"2017", C4:C451,"Estadística Matemática y Aplicada")</f>
        <v>2</v>
      </c>
      <c r="BM64" s="22">
        <f>AVERAGE(AT65:AT66)</f>
        <v>2</v>
      </c>
      <c r="BN64" s="22">
        <v>0</v>
      </c>
      <c r="BO64" s="22">
        <v>0</v>
      </c>
      <c r="BP64" s="22">
        <v>0</v>
      </c>
      <c r="BQ64" s="22">
        <f>AVERAGE(AZ65:AZ66)</f>
        <v>1</v>
      </c>
      <c r="BR64" s="22">
        <f>AVERAGE(BA65:BA66)</f>
        <v>1</v>
      </c>
    </row>
    <row r="65" spans="1:70" ht="15" customHeight="1" x14ac:dyDescent="0.25">
      <c r="A65">
        <v>2016</v>
      </c>
      <c r="B65" t="s">
        <v>4</v>
      </c>
      <c r="C65" t="s">
        <v>18</v>
      </c>
      <c r="D65" t="s">
        <v>22</v>
      </c>
      <c r="E65">
        <v>11</v>
      </c>
      <c r="F65" t="s">
        <v>211</v>
      </c>
      <c r="G65" t="s">
        <v>233</v>
      </c>
      <c r="H65" t="s">
        <v>233</v>
      </c>
      <c r="I65" t="s">
        <v>233</v>
      </c>
      <c r="J65" t="s">
        <v>234</v>
      </c>
      <c r="K65" t="s">
        <v>233</v>
      </c>
      <c r="L65" t="s">
        <v>234</v>
      </c>
      <c r="M65" s="14">
        <v>42804</v>
      </c>
      <c r="N65" s="14" t="str">
        <f t="shared" si="0"/>
        <v>2017</v>
      </c>
      <c r="O65" s="55" t="s">
        <v>93</v>
      </c>
      <c r="P65" s="56"/>
      <c r="Q65" s="56"/>
      <c r="R65" s="56"/>
      <c r="S65" s="56"/>
      <c r="T65" s="57"/>
      <c r="U65" s="5">
        <f>COUNTIFS(   D4:D451,"Análisis multivariante e inferencia en procesos multivariantes")</f>
        <v>1</v>
      </c>
      <c r="V65" s="5">
        <f>COUNTIFS(   D4:D451,"Análisis multivariante e inferencia en procesos multivariantes",F4:F451,"Hombre")</f>
        <v>1</v>
      </c>
      <c r="W65" s="5">
        <f>COUNTIFS(   D4:D451,"Análisis multivariante e inferencia en procesos multivariantes",F4:F451,"Mujer")</f>
        <v>0</v>
      </c>
      <c r="X65" s="29">
        <f>COUNTIFS(   A4:A451,"2013", D4:D451,"Análisis multivariante e inferencia en procesos multivariantes")</f>
        <v>0</v>
      </c>
      <c r="Y65" s="5">
        <f>COUNTIFS(   A4:A451,"2014", D4:D451,"Análisis multivariante e inferencia en procesos multivariantes")</f>
        <v>0</v>
      </c>
      <c r="Z65" s="5">
        <f>COUNTIFS(   A4:A451,"2015", D4:D451,"Análisis multivariante e inferencia en procesos multivariantes")</f>
        <v>0</v>
      </c>
      <c r="AA65" s="5">
        <f>COUNTIFS(   A4:A451,"2016", D4:D451,"Análisis multivariante e inferencia en procesos multivariantes")</f>
        <v>0</v>
      </c>
      <c r="AB65" s="5">
        <f>COUNTIFS(   A4:A451,"2017", D4:D451,"Análisis multivariante e inferencia en procesos multivariantes")</f>
        <v>1</v>
      </c>
      <c r="AC65" s="29">
        <f>COUNTIFS(   N4:N451,"2014", D4:D451,"Análisis multivariante e inferencia en procesos multivariantes")</f>
        <v>0</v>
      </c>
      <c r="AD65" s="5">
        <f>COUNTIFS(   N4:N451,"2015", D4:D451,"Análisis multivariante e inferencia en procesos multivariantes")</f>
        <v>0</v>
      </c>
      <c r="AE65" s="5">
        <f>COUNTIFS(   N4:N451,"2016", D4:D451,"Análisis multivariante e inferencia en procesos multivariantes")</f>
        <v>0</v>
      </c>
      <c r="AF65" s="5">
        <f>COUNTIFS(   N4:N451,"2017", D4:D451,"Análisis multivariante e inferencia en procesos multivariantes")</f>
        <v>1</v>
      </c>
      <c r="AG65" s="5">
        <f>COUNTIFS(   N4:N451,"2018", D4:D451,"Análisis multivariante e inferencia en procesos multivariantes")</f>
        <v>0</v>
      </c>
      <c r="AH65" s="5">
        <f>COUNTIFS(   D4:D451,"Análisis multivariante e inferencia en procesos multivariantes",G4:G451,"Sí")</f>
        <v>0</v>
      </c>
      <c r="AI65" s="5">
        <f>COUNTIFS(   D4:D451,"Análisis multivariante e inferencia en procesos multivariantes",G4:G451,"No")</f>
        <v>1</v>
      </c>
      <c r="AJ65" s="5">
        <f>SUMIFS( E4:E451, D4:D451,"Análisis multivariante e inferencia en procesos multivariantes",G4:G451,"Sí")</f>
        <v>0</v>
      </c>
      <c r="AK65" s="5">
        <f>SUMIFS( E4:E451, D4:D451,"Análisis multivariante e inferencia en procesos multivariantes",G4:G451,"No")</f>
        <v>2</v>
      </c>
      <c r="AL65" s="5">
        <f>COUNTIFS(   D4:D451,"Análisis multivariante e inferencia en procesos multivariantes",H4:H451,"Sí")</f>
        <v>0</v>
      </c>
      <c r="AM65" s="5">
        <f>COUNTIFS(   D4:D451,"Análisis multivariante e inferencia en procesos multivariantes",I4:I451,"Sí")</f>
        <v>0</v>
      </c>
      <c r="AN65" s="5">
        <f>COUNTIFS(   D4:D451,"Análisis multivariante e inferencia en procesos multivariantes",I4:I451,"No")</f>
        <v>1</v>
      </c>
      <c r="AO65" s="5">
        <f>SUMIFS( E4:E451, D4:D451,"Análisis multivariante e inferencia en procesos multivariantes",I4:I451,"Sí")</f>
        <v>0</v>
      </c>
      <c r="AP65" s="5">
        <f>SUMIFS( E4:E451, D4:D451,"Análisis multivariante e inferencia en procesos multivariantes",I4:I451,"No")</f>
        <v>2</v>
      </c>
      <c r="AQ65" s="5">
        <f>COUNTIFS(   D4:D451,"Análisis multivariante e inferencia en procesos multivariantes",J4:J451,"Sí")</f>
        <v>0</v>
      </c>
      <c r="AR65" s="5">
        <f>COUNTIFS(   D4:D451,"Análisis multivariante e inferencia en procesos multivariantes",K4:K451,"Sí")</f>
        <v>1</v>
      </c>
      <c r="AS65" s="5">
        <f>COUNTIFS(   D4:D451,"Análisis multivariante e inferencia en procesos multivariantes",L4:L451,"Sí")</f>
        <v>0</v>
      </c>
      <c r="AT65" s="5">
        <f>SUMIFS( E4:E451, D4:D451,"Análisis multivariante e inferencia en procesos multivariantes")</f>
        <v>2</v>
      </c>
      <c r="AU65" s="5">
        <f>SUMIFS( E4:E451, F4:F451,"Hombre", D4:D451,"Análisis multivariante e inferencia en procesos multivariantes")</f>
        <v>2</v>
      </c>
      <c r="AV65" s="5">
        <f>SUMIFS( E4:E451, F4:F451,"Mujer", D4:D451,"Análisis multivariante e inferencia en procesos multivariantes")</f>
        <v>0</v>
      </c>
      <c r="AW65" s="29">
        <f>SUMIFS( E4:E451, A4:A451,"2013", D4:D451,"Análisis multivariante e inferencia en procesos multivariantes")</f>
        <v>0</v>
      </c>
      <c r="AX65" s="5">
        <f>SUMIFS( E4:E451, A4:A451,"2014", D4:D451,"Análisis multivariante e inferencia en procesos multivariantes")</f>
        <v>0</v>
      </c>
      <c r="AY65" s="5">
        <f>SUMIFS( E4:E451, A4:A451,"2015", D4:D451,"Análisis multivariante e inferencia en procesos multivariantes")</f>
        <v>0</v>
      </c>
      <c r="AZ65" s="5">
        <f>SUMIFS( E4:E451, A4:A451,"2016", D4:D451,"Análisis multivariante e inferencia en procesos multivariantes")</f>
        <v>0</v>
      </c>
      <c r="BA65" s="5">
        <f>SUMIFS( E4:E451, A4:A451,"2017", D4:D451,"Análisis multivariante e inferencia en procesos multivariantes")</f>
        <v>2</v>
      </c>
      <c r="BB65" s="29">
        <f>SUMIFS( E4:E451, N4:N451,"2014", D4:D451,"Análisis multivariante e inferencia en procesos multivariantes")</f>
        <v>0</v>
      </c>
      <c r="BC65" s="5">
        <f>SUMIFS( E4:E451, N4:N451,"2015", D4:D451,"Análisis multivariante e inferencia en procesos multivariantes")</f>
        <v>0</v>
      </c>
      <c r="BD65" s="5">
        <f>SUMIFS( E4:E451, N4:N451,"2016", D4:D451,"Análisis multivariante e inferencia en procesos multivariantes")</f>
        <v>0</v>
      </c>
      <c r="BE65" s="5">
        <f>SUMIFS( E4:E451, N4:N451,"2017", D4:D451,"Análisis multivariante e inferencia en procesos multivariantes")</f>
        <v>2</v>
      </c>
      <c r="BF65" s="5">
        <f>SUMIFS( E4:E451, N4:N451,"2018", D4:D451,"Análisis multivariante e inferencia en procesos multivariantes")</f>
        <v>0</v>
      </c>
      <c r="BG65" s="23">
        <f>AVERAGEIFS( E4:E451, D4:D451,"Análisis multivariante e inferencia en procesos multivariantes")</f>
        <v>2</v>
      </c>
      <c r="BH65" s="23">
        <v>0</v>
      </c>
      <c r="BI65" s="23">
        <v>0</v>
      </c>
      <c r="BJ65" s="23">
        <v>0</v>
      </c>
      <c r="BK65" s="23">
        <v>0</v>
      </c>
      <c r="BL65" s="23">
        <f>AVERAGEIFS( E4:E451, A4:A451,"2017", D4:D451,"Análisis multivariante e inferencia en procesos multivariantes")</f>
        <v>2</v>
      </c>
      <c r="BM65" s="23">
        <v>2</v>
      </c>
      <c r="BN65" s="23">
        <v>0</v>
      </c>
      <c r="BO65" s="23">
        <v>0</v>
      </c>
      <c r="BP65" s="23">
        <v>0</v>
      </c>
      <c r="BQ65" s="23">
        <v>0</v>
      </c>
      <c r="BR65" s="23">
        <v>2</v>
      </c>
    </row>
    <row r="66" spans="1:70" ht="15" customHeight="1" x14ac:dyDescent="0.25">
      <c r="A66">
        <v>2016</v>
      </c>
      <c r="B66" t="s">
        <v>4</v>
      </c>
      <c r="C66" t="s">
        <v>18</v>
      </c>
      <c r="D66" t="s">
        <v>21</v>
      </c>
      <c r="E66" s="17">
        <v>2</v>
      </c>
      <c r="F66" t="s">
        <v>215</v>
      </c>
      <c r="G66" t="s">
        <v>233</v>
      </c>
      <c r="H66" t="s">
        <v>233</v>
      </c>
      <c r="I66" t="s">
        <v>233</v>
      </c>
      <c r="J66" t="s">
        <v>234</v>
      </c>
      <c r="K66" t="s">
        <v>233</v>
      </c>
      <c r="L66" t="s">
        <v>234</v>
      </c>
      <c r="M66" s="14">
        <v>42755</v>
      </c>
      <c r="N66" s="14" t="str">
        <f t="shared" si="0"/>
        <v>2017</v>
      </c>
      <c r="O66" s="55" t="s">
        <v>94</v>
      </c>
      <c r="P66" s="56"/>
      <c r="Q66" s="56"/>
      <c r="R66" s="56"/>
      <c r="S66" s="56"/>
      <c r="T66" s="57"/>
      <c r="U66" s="5">
        <f>COUNTIFS(   D4:D451,"Bioestadística")</f>
        <v>1</v>
      </c>
      <c r="V66" s="5">
        <f>COUNTIFS(   D4:D451,"Bioestadística",F4:F451,"Hombre")</f>
        <v>1</v>
      </c>
      <c r="W66" s="5">
        <f>COUNTIFS(   D4:D451,"Bioestadística",F4:F451,"Mujer")</f>
        <v>0</v>
      </c>
      <c r="X66" s="29">
        <f>COUNTIFS(   A4:A451,"2013", D4:D451,"Bioestadística")</f>
        <v>0</v>
      </c>
      <c r="Y66" s="5">
        <f>COUNTIFS(   A4:A451,"2014", D4:D451,"Bioestadística")</f>
        <v>0</v>
      </c>
      <c r="Z66" s="5">
        <f>COUNTIFS(   A4:A451,"2015", D4:D451,"Bioestadística")</f>
        <v>0</v>
      </c>
      <c r="AA66" s="5">
        <f>COUNTIFS(   A4:A451,"2016", D4:D451,"Bioestadística")</f>
        <v>1</v>
      </c>
      <c r="AB66" s="5">
        <f>COUNTIFS(   A4:A451,"2017", D4:D451,"Bioestadística")</f>
        <v>0</v>
      </c>
      <c r="AC66" s="29">
        <f>COUNTIFS(   N4:N451,"2014", D4:D451,"Bioestadística")</f>
        <v>0</v>
      </c>
      <c r="AD66" s="5">
        <f>COUNTIFS(   N4:N451,"2015", D4:D451,"Bioestadística")</f>
        <v>0</v>
      </c>
      <c r="AE66" s="5">
        <f>COUNTIFS(   N4:N451,"2016", D4:D451,"Bioestadística")</f>
        <v>0</v>
      </c>
      <c r="AF66" s="5">
        <f>COUNTIFS(   N4:N451,"2017", D4:D451,"Bioestadística")</f>
        <v>1</v>
      </c>
      <c r="AG66" s="5">
        <f>COUNTIFS(   N4:N451,"2018", D4:D451,"Bioestadística")</f>
        <v>0</v>
      </c>
      <c r="AH66" s="5">
        <f>COUNTIFS(   D4:D451,"Bioestadística",G4:G451,"Sí")</f>
        <v>0</v>
      </c>
      <c r="AI66" s="5">
        <f>COUNTIFS(   D4:D451,"Bioestadística",G4:G451,"No")</f>
        <v>1</v>
      </c>
      <c r="AJ66" s="5">
        <f>SUMIFS( E4:E451, D4:D451,"Bioestadística",G4:G451,"Sí")</f>
        <v>0</v>
      </c>
      <c r="AK66" s="5">
        <f>SUMIFS( E4:E451, D4:D451,"Bioestadística",G4:G451,"No")</f>
        <v>2</v>
      </c>
      <c r="AL66" s="5">
        <f>COUNTIFS(   D4:D451,"Bioestadística",H4:H451,"Sí")</f>
        <v>0</v>
      </c>
      <c r="AM66" s="5">
        <f>COUNTIFS(   D4:D451,"Bioestadística",I4:I451,"Sí")</f>
        <v>0</v>
      </c>
      <c r="AN66" s="5">
        <f>COUNTIFS(   D4:D451,"Bioestadística",I4:I451,"No")</f>
        <v>1</v>
      </c>
      <c r="AO66" s="5">
        <f>SUMIFS( E4:E451, D4:D451,"Bioestadística",I4:I451,"Sí")</f>
        <v>0</v>
      </c>
      <c r="AP66" s="5">
        <f>SUMIFS( E4:E451, D4:D451,"Bioestadística",I4:I451,"No")</f>
        <v>2</v>
      </c>
      <c r="AQ66" s="5">
        <f>COUNTIFS(   D4:D451,"Bioestadística",J4:J451,"Sí")</f>
        <v>1</v>
      </c>
      <c r="AR66" s="5">
        <f>COUNTIFS(   D4:D451,"Bioestadística",K4:K451,"Sí")</f>
        <v>0</v>
      </c>
      <c r="AS66" s="5">
        <f>COUNTIFS(   D4:D451,"Bioestadística",L4:L451,"Sí")</f>
        <v>1</v>
      </c>
      <c r="AT66" s="5">
        <f>SUMIFS( E4:E451, D4:D451,"Bioestadística")</f>
        <v>2</v>
      </c>
      <c r="AU66" s="5">
        <f>SUMIFS( E4:E451, F4:F451,"Hombre", D4:D451,"Bioestadística")</f>
        <v>2</v>
      </c>
      <c r="AV66" s="5">
        <f>SUMIFS( E4:E451, F4:F451,"Mujer", D4:D451,"Bioestadística")</f>
        <v>0</v>
      </c>
      <c r="AW66" s="29">
        <f>SUMIFS( E4:E451, A4:A451,"2013", D4:D451,"Bioestadística")</f>
        <v>0</v>
      </c>
      <c r="AX66" s="5">
        <f>SUMIFS( E4:E451, A4:A451,"2014", D4:D451,"Bioestadística")</f>
        <v>0</v>
      </c>
      <c r="AY66" s="5">
        <f>SUMIFS( E4:E451, A4:A451,"2015", D4:D451,"Bioestadística")</f>
        <v>0</v>
      </c>
      <c r="AZ66" s="5">
        <f>SUMIFS( E4:E451, A4:A451,"2016", D4:D451,"Bioestadística")</f>
        <v>2</v>
      </c>
      <c r="BA66" s="5">
        <f>SUMIFS( E4:E451, A4:A451,"2017", D4:D451,"Bioestadística")</f>
        <v>0</v>
      </c>
      <c r="BB66" s="29">
        <f>SUMIFS( E4:E451, N4:N451,"2014", D4:D451,"Bioestadística")</f>
        <v>0</v>
      </c>
      <c r="BC66" s="5">
        <f>SUMIFS( E4:E451, N4:N451,"2015", D4:D451,"Bioestadística")</f>
        <v>0</v>
      </c>
      <c r="BD66" s="5">
        <f>SUMIFS( E4:E451, N4:N451,"2016", D4:D451,"Bioestadística")</f>
        <v>0</v>
      </c>
      <c r="BE66" s="5">
        <f>SUMIFS( E4:E451, N4:N451,"2017", D4:D451,"Bioestadística")</f>
        <v>2</v>
      </c>
      <c r="BF66" s="5">
        <f>SUMIFS( E4:E451, N4:N451,"2018", D4:D451,"Bioestadística")</f>
        <v>0</v>
      </c>
      <c r="BG66" s="23">
        <f>AVERAGEIFS( E4:E451, D4:D451,"Bioestadística")</f>
        <v>2</v>
      </c>
      <c r="BH66" s="23">
        <v>0</v>
      </c>
      <c r="BI66" s="23">
        <v>0</v>
      </c>
      <c r="BJ66" s="23">
        <v>0</v>
      </c>
      <c r="BK66" s="23">
        <f>AVERAGEIFS( E4:E451, A4:A451,"2016", D4:D451,"Bioestadística")</f>
        <v>2</v>
      </c>
      <c r="BL66" s="23">
        <v>0</v>
      </c>
      <c r="BM66" s="23">
        <v>2</v>
      </c>
      <c r="BN66" s="23">
        <v>0</v>
      </c>
      <c r="BO66" s="23">
        <v>0</v>
      </c>
      <c r="BP66" s="23">
        <v>0</v>
      </c>
      <c r="BQ66" s="23">
        <v>2</v>
      </c>
      <c r="BR66" s="23">
        <v>0</v>
      </c>
    </row>
    <row r="67" spans="1:70" ht="15" customHeight="1" x14ac:dyDescent="0.25">
      <c r="A67">
        <v>2016</v>
      </c>
      <c r="B67" t="s">
        <v>4</v>
      </c>
      <c r="C67" t="s">
        <v>18</v>
      </c>
      <c r="D67" t="s">
        <v>22</v>
      </c>
      <c r="E67">
        <v>11</v>
      </c>
      <c r="F67" t="s">
        <v>215</v>
      </c>
      <c r="G67" t="s">
        <v>233</v>
      </c>
      <c r="H67" t="s">
        <v>233</v>
      </c>
      <c r="I67" t="s">
        <v>233</v>
      </c>
      <c r="J67" t="s">
        <v>234</v>
      </c>
      <c r="K67" t="s">
        <v>233</v>
      </c>
      <c r="L67" t="s">
        <v>234</v>
      </c>
      <c r="M67" s="14">
        <v>42748</v>
      </c>
      <c r="N67" s="14" t="str">
        <f t="shared" si="0"/>
        <v>2017</v>
      </c>
      <c r="O67" s="6" t="s">
        <v>63</v>
      </c>
      <c r="P67" s="7"/>
      <c r="Q67" s="7"/>
      <c r="R67" s="7"/>
      <c r="S67" s="7"/>
      <c r="T67" s="8"/>
      <c r="U67" s="4">
        <f>COUNTIFS(   C4:C451,"Física y Ciencias del Espacio")</f>
        <v>17</v>
      </c>
      <c r="V67" s="4">
        <f>COUNTIFS(   C4:C451,"Física y Ciencias del Espacio",F4:F451,"Hombre")</f>
        <v>12</v>
      </c>
      <c r="W67" s="4">
        <f>COUNTIFS(   C4:C451,"Física y Ciencias del Espacio",F4:F451,"Mujer")</f>
        <v>5</v>
      </c>
      <c r="X67" s="28">
        <f>COUNTIFS(   A4:A451,"2013", C4:C451,"Física y Ciencias del Espacio")</f>
        <v>0</v>
      </c>
      <c r="Y67" s="4">
        <f>COUNTIFS(   A4:A451,"2014", C4:C451,"Física y Ciencias del Espacio")</f>
        <v>2</v>
      </c>
      <c r="Z67" s="4">
        <f>COUNTIFS(   A4:A451,"2015", C4:C451,"Física y Ciencias del Espacio")</f>
        <v>2</v>
      </c>
      <c r="AA67" s="4">
        <f>COUNTIFS(   A4:A451,"2016", C4:C451,"Física y Ciencias del Espacio")</f>
        <v>6</v>
      </c>
      <c r="AB67" s="4">
        <f>COUNTIFS(   A4:A451,"2017", C4:C451,"Física y Ciencias del Espacio")</f>
        <v>7</v>
      </c>
      <c r="AC67" s="28">
        <f>COUNTIFS(   N4:N451,"2014", C4:C451,"Física y Ciencias del Espacio")</f>
        <v>0</v>
      </c>
      <c r="AD67" s="4">
        <f>COUNTIFS(   N4:N451,"2015", C4:C451,"Física y Ciencias del Espacio")</f>
        <v>3</v>
      </c>
      <c r="AE67" s="4">
        <f>COUNTIFS(   N4:N451,"2016", C4:C451,"Física y Ciencias del Espacio")</f>
        <v>1</v>
      </c>
      <c r="AF67" s="4">
        <f>COUNTIFS(   N4:N451,"2017", C4:C451,"Física y Ciencias del Espacio")</f>
        <v>8</v>
      </c>
      <c r="AG67" s="4">
        <f>COUNTIFS(   N4:N451,"2018", C4:C451,"Física y Ciencias del Espacio")</f>
        <v>5</v>
      </c>
      <c r="AH67" s="4">
        <f>COUNTIFS(   C4:C451,"Física y Ciencias del Espacio",G4:G451,"Sí")</f>
        <v>1</v>
      </c>
      <c r="AI67" s="4">
        <f>COUNTIFS(   C4:C451,"Física y Ciencias del Espacio",G4:G451,"No")</f>
        <v>16</v>
      </c>
      <c r="AJ67" s="4">
        <f>SUMIFS( E4:E451, C4:C451,"Física y Ciencias del Espacio",G4:G451,"Sí")</f>
        <v>6</v>
      </c>
      <c r="AK67" s="4">
        <f>SUMIFS( E4:E451, C4:C451,"Física y Ciencias del Espacio",G4:G451,"No")</f>
        <v>137</v>
      </c>
      <c r="AL67" s="4">
        <f>COUNTIFS(   C4:C451,"Física y Ciencias del Espacio",H4:H451,"Sí")</f>
        <v>3</v>
      </c>
      <c r="AM67" s="4">
        <f>COUNTIFS(   C4:C451,"Física y Ciencias del Espacio",I4:I451,"Sí")</f>
        <v>9</v>
      </c>
      <c r="AN67" s="4">
        <f>COUNTIFS(   C4:C451,"Física y Ciencias del Espacio",I4:I451,"No")</f>
        <v>8</v>
      </c>
      <c r="AO67" s="4">
        <f>SUMIFS( E4:E451, C4:C451,"Física y Ciencias del Espacio",I4:I451,"Sí")</f>
        <v>91</v>
      </c>
      <c r="AP67" s="4">
        <f>SUMIFS( E4:E451, C4:C451,"Física y Ciencias del Espacio",I4:I451,"No")</f>
        <v>52</v>
      </c>
      <c r="AQ67" s="4">
        <f>COUNTIFS(   C4:C451,"Física y Ciencias del Espacio",J4:J451,"Sí")</f>
        <v>16</v>
      </c>
      <c r="AR67" s="4">
        <f>COUNTIFS(   C4:C451,"Física y Ciencias del Espacio",K4:K451,"Sí")</f>
        <v>5</v>
      </c>
      <c r="AS67" s="4">
        <f>COUNTIFS(   C4:C451,"Física y Ciencias del Espacio",L4:L451,"Sí")</f>
        <v>16</v>
      </c>
      <c r="AT67" s="4">
        <f>SUMIFS( E4:E451, C4:C451,"Física y Ciencias del Espacio")</f>
        <v>143</v>
      </c>
      <c r="AU67" s="4">
        <f>SUMIFS( E4:E451, F4:F451,"Hombre", C4:C451,"Física y Ciencias del Espacio")</f>
        <v>105</v>
      </c>
      <c r="AV67" s="4">
        <f>SUMIFS( E4:E451, F4:F451,"Mujer", C4:C451,"Física y Ciencias del Espacio")</f>
        <v>38</v>
      </c>
      <c r="AW67" s="28">
        <f>SUMIFS( E4:E451, A4:A451,"2013", C4:C451,"Física y Ciencias del Espacio")</f>
        <v>0</v>
      </c>
      <c r="AX67" s="4">
        <f>SUMIFS( E4:E451, A4:A451,"2014", C4:C451,"Física y Ciencias del Espacio")</f>
        <v>12</v>
      </c>
      <c r="AY67" s="4">
        <f>SUMIFS( E4:E451, A4:A451,"2015", C4:C451,"Física y Ciencias del Espacio")</f>
        <v>11</v>
      </c>
      <c r="AZ67" s="4">
        <f>SUMIFS( E4:E451, A4:A451,"2016", C4:C451,"Física y Ciencias del Espacio")</f>
        <v>75</v>
      </c>
      <c r="BA67" s="4">
        <f>SUMIFS( E4:E451, A4:A451,"2017", C4:C451,"Física y Ciencias del Espacio")</f>
        <v>45</v>
      </c>
      <c r="BB67" s="28">
        <f>SUMIFS( E4:E451, N4:N451,"2014", C4:C451,"Física y Ciencias del Espacio")</f>
        <v>0</v>
      </c>
      <c r="BC67" s="4">
        <f>SUMIFS( E4:E451, N4:N451,"2015", C4:C451,"Física y Ciencias del Espacio")</f>
        <v>18</v>
      </c>
      <c r="BD67" s="4">
        <f>SUMIFS( E4:E451, N4:N451,"2016", C4:C451,"Física y Ciencias del Espacio")</f>
        <v>5</v>
      </c>
      <c r="BE67" s="4">
        <f>SUMIFS( E4:E451, N4:N451,"2017", C4:C451,"Física y Ciencias del Espacio")</f>
        <v>90</v>
      </c>
      <c r="BF67" s="4">
        <f>SUMIFS( E4:E451, N4:N451,"2018", C4:C451,"Física y Ciencias del Espacio")</f>
        <v>30</v>
      </c>
      <c r="BG67" s="22">
        <f>AVERAGEIFS( E4:E451, C4:C451,"Física y Ciencias del Espacio")</f>
        <v>8.4117647058823533</v>
      </c>
      <c r="BH67" s="22">
        <v>0</v>
      </c>
      <c r="BI67" s="22">
        <f>AVERAGEIFS( E4:E451, A4:A451,"2014", C4:C451,"Física y Ciencias del Espacio")</f>
        <v>6</v>
      </c>
      <c r="BJ67" s="22">
        <f>AVERAGEIFS( E4:E451, A4:A451,"2015", C4:C451,"Física y Ciencias del Espacio")</f>
        <v>5.5</v>
      </c>
      <c r="BK67" s="22">
        <f>AVERAGEIFS( E4:E451, A4:A451,"2016", C4:C451,"Física y Ciencias del Espacio")</f>
        <v>12.5</v>
      </c>
      <c r="BL67" s="22">
        <f>AVERAGEIFS( E4:E451, A4:A451,"2017", C4:C451,"Física y Ciencias del Espacio")</f>
        <v>6.4285714285714288</v>
      </c>
      <c r="BM67" s="22">
        <f>AVERAGE(AT68:AT74)</f>
        <v>20.428571428571427</v>
      </c>
      <c r="BN67" s="22">
        <v>0</v>
      </c>
      <c r="BO67" s="22">
        <f>AVERAGE(AX68:AX74)</f>
        <v>1.7142857142857142</v>
      </c>
      <c r="BP67" s="22">
        <f>AVERAGE(AY68:AY74)</f>
        <v>1.5714285714285714</v>
      </c>
      <c r="BQ67" s="22">
        <f>AVERAGE(AZ68:AZ74)</f>
        <v>10.714285714285714</v>
      </c>
      <c r="BR67" s="22">
        <f>AVERAGE(BA68:BA74)</f>
        <v>6.4285714285714288</v>
      </c>
    </row>
    <row r="68" spans="1:70" ht="15" customHeight="1" x14ac:dyDescent="0.25">
      <c r="A68">
        <v>2016</v>
      </c>
      <c r="B68" t="s">
        <v>4</v>
      </c>
      <c r="C68" t="s">
        <v>18</v>
      </c>
      <c r="D68" t="s">
        <v>19</v>
      </c>
      <c r="E68" s="17">
        <v>6</v>
      </c>
      <c r="F68" t="s">
        <v>211</v>
      </c>
      <c r="G68" t="s">
        <v>234</v>
      </c>
      <c r="H68" t="s">
        <v>233</v>
      </c>
      <c r="I68" t="s">
        <v>233</v>
      </c>
      <c r="J68" t="s">
        <v>234</v>
      </c>
      <c r="K68" t="s">
        <v>234</v>
      </c>
      <c r="L68" t="s">
        <v>234</v>
      </c>
      <c r="M68" s="14">
        <v>42706</v>
      </c>
      <c r="N68" s="14" t="str">
        <f t="shared" si="0"/>
        <v>2016</v>
      </c>
      <c r="O68" s="55" t="s">
        <v>98</v>
      </c>
      <c r="P68" s="56"/>
      <c r="Q68" s="56"/>
      <c r="R68" s="56"/>
      <c r="S68" s="56"/>
      <c r="T68" s="57"/>
      <c r="U68" s="5">
        <f>COUNTIFS(   D4:D451,"Astrofísica Planetaria")</f>
        <v>3</v>
      </c>
      <c r="V68" s="5">
        <f>COUNTIFS(   D4:D451,"Astrofísica Planetaria",F4:F451,"Hombre")</f>
        <v>2</v>
      </c>
      <c r="W68" s="5">
        <f>COUNTIFS(   D4:D451,"Astrofísica Planetaria",F4:F451,"Mujer")</f>
        <v>1</v>
      </c>
      <c r="X68" s="29">
        <f>COUNTIFS(   A4:A451,"2013", D4:D451,"Astrofísica Planetaria")</f>
        <v>0</v>
      </c>
      <c r="Y68" s="5">
        <f>COUNTIFS(   A4:A451,"2014", D4:D451,"Astrofísica Planetaria")</f>
        <v>0</v>
      </c>
      <c r="Z68" s="5">
        <f>COUNTIFS(   A4:A451,"2015", D4:D451,"Astrofísica Planetaria")</f>
        <v>0</v>
      </c>
      <c r="AA68" s="5">
        <f>COUNTIFS(   A4:A451,"2016", D4:D451,"Astrofísica Planetaria")</f>
        <v>0</v>
      </c>
      <c r="AB68" s="5">
        <f>COUNTIFS(   A4:A451,"2017", D4:D451,"Astrofísica Planetaria")</f>
        <v>3</v>
      </c>
      <c r="AC68" s="29">
        <f>COUNTIFS(   N4:N451,"2014", D4:D451,"Astrofísica Planetaria")</f>
        <v>0</v>
      </c>
      <c r="AD68" s="5">
        <f>COUNTIFS(   N4:N451,"2015", D4:D451,"Astrofísica Planetaria")</f>
        <v>0</v>
      </c>
      <c r="AE68" s="5">
        <f>COUNTIFS(   N4:N451,"2016", D4:D451,"Astrofísica Planetaria")</f>
        <v>0</v>
      </c>
      <c r="AF68" s="5">
        <f>COUNTIFS(   N4:N451,"2017", D4:D451,"Astrofísica Planetaria")</f>
        <v>1</v>
      </c>
      <c r="AG68" s="5">
        <f>COUNTIFS(   N4:N451,"2018", D4:D451,"Astrofísica Planetaria")</f>
        <v>2</v>
      </c>
      <c r="AH68" s="5">
        <f>COUNTIFS(   D4:D451,"Astrofísica Planetaria",G4:G451,"Sí")</f>
        <v>0</v>
      </c>
      <c r="AI68" s="5">
        <f>COUNTIFS(   D4:D451,"Astrofísica Planetaria",G4:G451,"No")</f>
        <v>3</v>
      </c>
      <c r="AJ68" s="5">
        <f>SUMIFS( E4:E451, D4:D451,"Astrofísica Planetaria",G4:G451,"Sí")</f>
        <v>0</v>
      </c>
      <c r="AK68" s="5">
        <f>SUMIFS( E4:E451, D4:D451,"Astrofísica Planetaria",G4:G451,"No")</f>
        <v>24</v>
      </c>
      <c r="AL68" s="5">
        <f>COUNTIFS(   D4:D451,"Astrofísica Planetaria",H4:H451,"Sí")</f>
        <v>0</v>
      </c>
      <c r="AM68" s="5">
        <f>COUNTIFS(   D4:D451,"Astrofísica Planetaria",I4:I451,"Sí")</f>
        <v>2</v>
      </c>
      <c r="AN68" s="5">
        <f>COUNTIFS(   D4:D451,"Astrofísica Planetaria",I4:I451,"No")</f>
        <v>1</v>
      </c>
      <c r="AO68" s="5">
        <f>SUMIFS( E4:E451, D4:D451,"Astrofísica Planetaria",I4:I451,"Sí")</f>
        <v>20</v>
      </c>
      <c r="AP68" s="5">
        <f>SUMIFS( E4:E451, D4:D451,"Astrofísica Planetaria",I4:I451,"No")</f>
        <v>4</v>
      </c>
      <c r="AQ68" s="5">
        <f>COUNTIFS(   D4:D451,"Astrofísica Planetaria",J4:J451,"Sí")</f>
        <v>3</v>
      </c>
      <c r="AR68" s="5">
        <f>COUNTIFS(   D4:D451,"Astrofísica Planetaria",K4:K451,"Sí")</f>
        <v>3</v>
      </c>
      <c r="AS68" s="5">
        <f>COUNTIFS(   D4:D451,"Astrofísica Planetaria",L4:L451,"Sí")</f>
        <v>3</v>
      </c>
      <c r="AT68" s="5">
        <f>SUMIFS( E4:E451, D4:D451,"Astrofísica Planetaria")</f>
        <v>24</v>
      </c>
      <c r="AU68" s="5">
        <f>SUMIFS( E4:E451, F4:F451,"Hombre", D4:D451,"Astrofísica Planetaria")</f>
        <v>15</v>
      </c>
      <c r="AV68" s="5">
        <f>SUMIFS( E4:E451, F4:F451,"Mujer", D4:D451,"Astrofísica Planetaria")</f>
        <v>9</v>
      </c>
      <c r="AW68" s="29">
        <f>SUMIFS( E4:E451, A4:A451,"2013", D4:D451,"Astrofísica Planetaria")</f>
        <v>0</v>
      </c>
      <c r="AX68" s="5">
        <f>SUMIFS( E4:E451, A4:A451,"2014", D4:D451,"Astrofísica Planetaria")</f>
        <v>0</v>
      </c>
      <c r="AY68" s="5">
        <f>SUMIFS( E4:E451, A4:A451,"2015", D4:D451,"Astrofísica Planetaria")</f>
        <v>0</v>
      </c>
      <c r="AZ68" s="5">
        <f>SUMIFS( E4:E451, A4:A451,"2016", D4:D451,"Astrofísica Planetaria")</f>
        <v>0</v>
      </c>
      <c r="BA68" s="5">
        <f>SUMIFS( E4:E451, A4:A451,"2017", D4:D451,"Astrofísica Planetaria")</f>
        <v>24</v>
      </c>
      <c r="BB68" s="29">
        <f>SUMIFS( E4:E451, N4:N451,"2014", D4:D451,"Astrofísica Planetaria")</f>
        <v>0</v>
      </c>
      <c r="BC68" s="5">
        <f>SUMIFS( E4:E451, N4:N451,"2015", D4:D451,"Astrofísica Planetaria")</f>
        <v>0</v>
      </c>
      <c r="BD68" s="5">
        <f>SUMIFS( E4:E451, N4:N451,"2016", D4:D451,"Astrofísica Planetaria")</f>
        <v>0</v>
      </c>
      <c r="BE68" s="5">
        <f>SUMIFS( E4:E451, N4:N451,"2017", D4:D451,"Astrofísica Planetaria")</f>
        <v>9</v>
      </c>
      <c r="BF68" s="5">
        <f>SUMIFS( E4:E451, N4:N451,"2018", D4:D451,"Astrofísica Planetaria")</f>
        <v>15</v>
      </c>
      <c r="BG68" s="23">
        <f>AVERAGEIFS( E4:E451, D4:D451,"Astrofísica Planetaria")</f>
        <v>8</v>
      </c>
      <c r="BH68" s="23">
        <v>0</v>
      </c>
      <c r="BI68" s="23">
        <v>0</v>
      </c>
      <c r="BJ68" s="23">
        <v>0</v>
      </c>
      <c r="BK68" s="23">
        <v>0</v>
      </c>
      <c r="BL68" s="23">
        <f>AVERAGEIFS( E4:E451, A4:A451,"2017", D4:D451,"Astrofísica Planetaria")</f>
        <v>8</v>
      </c>
      <c r="BM68" s="23">
        <v>8</v>
      </c>
      <c r="BN68" s="23">
        <v>0</v>
      </c>
      <c r="BO68" s="23">
        <v>0</v>
      </c>
      <c r="BP68" s="23">
        <v>0</v>
      </c>
      <c r="BQ68" s="23">
        <v>0</v>
      </c>
      <c r="BR68" s="23">
        <v>8</v>
      </c>
    </row>
    <row r="69" spans="1:70" ht="15" customHeight="1" x14ac:dyDescent="0.25">
      <c r="A69">
        <v>2016</v>
      </c>
      <c r="B69" t="s">
        <v>4</v>
      </c>
      <c r="C69" t="s">
        <v>18</v>
      </c>
      <c r="D69" t="s">
        <v>19</v>
      </c>
      <c r="E69" s="17">
        <v>3</v>
      </c>
      <c r="F69" t="s">
        <v>211</v>
      </c>
      <c r="G69" t="s">
        <v>233</v>
      </c>
      <c r="H69" t="s">
        <v>233</v>
      </c>
      <c r="I69" t="s">
        <v>234</v>
      </c>
      <c r="J69" t="s">
        <v>234</v>
      </c>
      <c r="K69" t="s">
        <v>233</v>
      </c>
      <c r="L69" t="s">
        <v>234</v>
      </c>
      <c r="M69" s="14">
        <v>42636</v>
      </c>
      <c r="N69" s="14" t="str">
        <f t="shared" ref="N69:N132" si="1">TEXT(M69,"aaaa")</f>
        <v>2016</v>
      </c>
      <c r="O69" s="55" t="s">
        <v>99</v>
      </c>
      <c r="P69" s="56"/>
      <c r="Q69" s="56"/>
      <c r="R69" s="56"/>
      <c r="S69" s="56"/>
      <c r="T69" s="57"/>
      <c r="U69" s="5">
        <f>COUNTIFS(   D4:D451,"Ciencia y Tecnología de Nanopartículas e Interfases")</f>
        <v>4</v>
      </c>
      <c r="V69" s="5">
        <f>COUNTIFS(   D4:D451,"Ciencia y Tecnología de Nanopartículas e Interfases",F4:F451,"Hombre")</f>
        <v>2</v>
      </c>
      <c r="W69" s="5">
        <f>COUNTIFS(   D4:D451,"Ciencia y Tecnología de Nanopartículas e Interfases",F4:F451,"Mujer")</f>
        <v>2</v>
      </c>
      <c r="X69" s="29">
        <f>COUNTIFS(   A4:A451,"2013", D4:D451,"Ciencia y Tecnología de Nanopartículas e Interfases")</f>
        <v>0</v>
      </c>
      <c r="Y69" s="5">
        <f>COUNTIFS(   A4:A451,"2014", D4:D451,"Ciencia y Tecnología de Nanopartículas e Interfases")</f>
        <v>1</v>
      </c>
      <c r="Z69" s="5">
        <f>COUNTIFS(   A4:A451,"2015", D4:D451,"Ciencia y Tecnología de Nanopartículas e Interfases")</f>
        <v>0</v>
      </c>
      <c r="AA69" s="5">
        <f>COUNTIFS(   A4:A451,"2016", D4:D451,"Ciencia y Tecnología de Nanopartículas e Interfases")</f>
        <v>2</v>
      </c>
      <c r="AB69" s="5">
        <f>COUNTIFS(   A4:A451,"2017", D4:D451,"Ciencia y Tecnología de Nanopartículas e Interfases")</f>
        <v>1</v>
      </c>
      <c r="AC69" s="29">
        <f>COUNTIFS(   N4:N451,"2014", D4:D451,"Ciencia y Tecnología de Nanopartículas e Interfases")</f>
        <v>0</v>
      </c>
      <c r="AD69" s="5">
        <f>COUNTIFS(   N4:N451,"2015", D4:D451,"Ciencia y Tecnología de Nanopartículas e Interfases")</f>
        <v>1</v>
      </c>
      <c r="AE69" s="5">
        <f>COUNTIFS(   N4:N451,"2016", D4:D451,"Ciencia y Tecnología de Nanopartículas e Interfases")</f>
        <v>0</v>
      </c>
      <c r="AF69" s="5">
        <f>COUNTIFS(   N4:N451,"2017", D4:D451,"Ciencia y Tecnología de Nanopartículas e Interfases")</f>
        <v>3</v>
      </c>
      <c r="AG69" s="5">
        <f>COUNTIFS(   N4:N451,"2018", D4:D451,"Ciencia y Tecnología de Nanopartículas e Interfases")</f>
        <v>0</v>
      </c>
      <c r="AH69" s="5">
        <f>COUNTIFS(   D4:D451,"Ciencia y Tecnología de Nanopartículas e Interfases",G4:G451,"Sí")</f>
        <v>0</v>
      </c>
      <c r="AI69" s="5">
        <f>COUNTIFS(   D4:D451,"Ciencia y Tecnología de Nanopartículas e Interfases",G4:G451,"No")</f>
        <v>4</v>
      </c>
      <c r="AJ69" s="5">
        <f>SUMIFS( E4:E451, D4:D451,"Ciencia y Tecnología de Nanopartículas e Interfases",G4:G451,"Sí")</f>
        <v>0</v>
      </c>
      <c r="AK69" s="5">
        <f>SUMIFS( E4:E451, D4:D451,"Ciencia y Tecnología de Nanopartículas e Interfases",G4:G451,"No")</f>
        <v>30</v>
      </c>
      <c r="AL69" s="5">
        <f>COUNTIFS(   D4:D451,"Ciencia y Tecnología de Nanopartículas e Interfases",H4:H451,"Sí")</f>
        <v>1</v>
      </c>
      <c r="AM69" s="5">
        <f>COUNTIFS(   D4:D451,"Ciencia y Tecnología de Nanopartículas e Interfases",I4:I451,"Sí")</f>
        <v>2</v>
      </c>
      <c r="AN69" s="5">
        <f>COUNTIFS(   D4:D451,"Ciencia y Tecnología de Nanopartículas e Interfases",I4:I451,"No")</f>
        <v>2</v>
      </c>
      <c r="AO69" s="5">
        <f>SUMIFS( E4:E451, D4:D451,"Ciencia y Tecnología de Nanopartículas e Interfases",I4:I451,"Sí")</f>
        <v>14</v>
      </c>
      <c r="AP69" s="5">
        <f>SUMIFS( E4:E451, D4:D451,"Ciencia y Tecnología de Nanopartículas e Interfases",I4:I451,"No")</f>
        <v>16</v>
      </c>
      <c r="AQ69" s="5">
        <f>COUNTIFS(   D4:D451,"Ciencia y Tecnología de Nanopartículas e Interfases",J4:J451,"Sí")</f>
        <v>4</v>
      </c>
      <c r="AR69" s="5">
        <f>COUNTIFS(   D4:D451,"Ciencia y Tecnología de Nanopartículas e Interfases",K4:K451,"Sí")</f>
        <v>1</v>
      </c>
      <c r="AS69" s="5">
        <f>COUNTIFS(   D4:D451,"Ciencia y Tecnología de Nanopartículas e Interfases",L4:L451,"Sí")</f>
        <v>4</v>
      </c>
      <c r="AT69" s="5">
        <f>SUMIFS( E4:E451, D4:D451,"Ciencia y Tecnología de Nanopartículas e Interfases")</f>
        <v>30</v>
      </c>
      <c r="AU69" s="5">
        <f>SUMIFS( E4:E451, F4:F451,"Hombre", D4:D451,"Ciencia y Tecnología de Nanopartículas e Interfases")</f>
        <v>16</v>
      </c>
      <c r="AV69" s="5">
        <f>SUMIFS( E4:E451, F4:F451,"Mujer", D4:D451,"Ciencia y Tecnología de Nanopartículas e Interfases")</f>
        <v>14</v>
      </c>
      <c r="AW69" s="29">
        <f>SUMIFS( E4:E451, A4:A451,"2013", D4:D451,"Ciencia y Tecnología de Nanopartículas e Interfases")</f>
        <v>0</v>
      </c>
      <c r="AX69" s="5">
        <f>SUMIFS( E4:E451, A4:A451,"2014", D4:D451,"Ciencia y Tecnología de Nanopartículas e Interfases")</f>
        <v>4</v>
      </c>
      <c r="AY69" s="5">
        <f>SUMIFS( E4:E451, A4:A451,"2015", D4:D451,"Ciencia y Tecnología de Nanopartículas e Interfases")</f>
        <v>0</v>
      </c>
      <c r="AZ69" s="5">
        <f>SUMIFS( E4:E451, A4:A451,"2016", D4:D451,"Ciencia y Tecnología de Nanopartículas e Interfases")</f>
        <v>20</v>
      </c>
      <c r="BA69" s="5">
        <f>SUMIFS( E4:E451, A4:A451,"2017", D4:D451,"Ciencia y Tecnología de Nanopartículas e Interfases")</f>
        <v>6</v>
      </c>
      <c r="BB69" s="29">
        <f>SUMIFS( E4:E451, N4:N451,"2014", D4:D451,"Ciencia y Tecnología de Nanopartículas e Interfases")</f>
        <v>0</v>
      </c>
      <c r="BC69" s="5">
        <f>SUMIFS( E4:E451, N4:N451,"2015", D4:D451,"Ciencia y Tecnología de Nanopartículas e Interfases")</f>
        <v>4</v>
      </c>
      <c r="BD69" s="5">
        <f>SUMIFS( E4:E451, N4:N451,"2016", D4:D451,"Ciencia y Tecnología de Nanopartículas e Interfases")</f>
        <v>0</v>
      </c>
      <c r="BE69" s="5">
        <f>SUMIFS( E4:E451, N4:N451,"2017", D4:D451,"Ciencia y Tecnología de Nanopartículas e Interfases")</f>
        <v>26</v>
      </c>
      <c r="BF69" s="5">
        <f>SUMIFS( E4:E451, N4:N451,"2018", D4:D451,"Ciencia y Tecnología de Nanopartículas e Interfases")</f>
        <v>0</v>
      </c>
      <c r="BG69" s="23">
        <f>AVERAGEIFS( E4:E451, D4:D451,"Ciencia y Tecnología de Nanopartículas e Interfases")</f>
        <v>7.5</v>
      </c>
      <c r="BH69" s="23">
        <v>0</v>
      </c>
      <c r="BI69" s="23">
        <f>AVERAGEIFS( E4:E451, A4:A451,"2014", D4:D451,"Ciencia y Tecnología de Nanopartículas e Interfases")</f>
        <v>4</v>
      </c>
      <c r="BJ69" s="23">
        <v>0</v>
      </c>
      <c r="BK69" s="23">
        <f>AVERAGEIFS( E4:E451, A4:A451,"2016", D4:D451,"Ciencia y Tecnología de Nanopartículas e Interfases")</f>
        <v>10</v>
      </c>
      <c r="BL69" s="23">
        <f>AVERAGEIFS( E4:E451, A4:A451,"2017", D4:D451,"Ciencia y Tecnología de Nanopartículas e Interfases")</f>
        <v>6</v>
      </c>
      <c r="BM69" s="23">
        <v>7.5</v>
      </c>
      <c r="BN69" s="23">
        <v>0</v>
      </c>
      <c r="BO69" s="23">
        <v>4</v>
      </c>
      <c r="BP69" s="23">
        <v>0</v>
      </c>
      <c r="BQ69" s="23">
        <v>10</v>
      </c>
      <c r="BR69" s="23">
        <v>6</v>
      </c>
    </row>
    <row r="70" spans="1:70" ht="15" customHeight="1" x14ac:dyDescent="0.25">
      <c r="A70">
        <v>2015</v>
      </c>
      <c r="B70" t="s">
        <v>4</v>
      </c>
      <c r="C70" t="s">
        <v>18</v>
      </c>
      <c r="D70" t="s">
        <v>19</v>
      </c>
      <c r="E70" s="17">
        <v>9</v>
      </c>
      <c r="F70" t="s">
        <v>211</v>
      </c>
      <c r="G70" t="s">
        <v>233</v>
      </c>
      <c r="H70" t="s">
        <v>233</v>
      </c>
      <c r="I70" t="s">
        <v>234</v>
      </c>
      <c r="J70" t="s">
        <v>234</v>
      </c>
      <c r="K70" t="s">
        <v>233</v>
      </c>
      <c r="L70" t="s">
        <v>234</v>
      </c>
      <c r="M70" s="14">
        <v>42559</v>
      </c>
      <c r="N70" s="14" t="str">
        <f t="shared" si="1"/>
        <v>2016</v>
      </c>
      <c r="O70" s="55" t="s">
        <v>96</v>
      </c>
      <c r="P70" s="56"/>
      <c r="Q70" s="56"/>
      <c r="R70" s="56"/>
      <c r="S70" s="56"/>
      <c r="T70" s="57"/>
      <c r="U70" s="5">
        <f>COUNTIFS(   D4:D451,"Ciencias Atmosféricas y Meteorología")</f>
        <v>2</v>
      </c>
      <c r="V70" s="5">
        <f>COUNTIFS(   D4:D451,"Ciencias Atmosféricas y Meteorología",F4:F451,"Hombre")</f>
        <v>1</v>
      </c>
      <c r="W70" s="5">
        <f>COUNTIFS(   D4:D451,"Ciencias Atmosféricas y Meteorología",F4:F451,"Mujer")</f>
        <v>1</v>
      </c>
      <c r="X70" s="29">
        <f>COUNTIFS(   A4:A451,"2013", D4:D451,"Ciencias Atmosféricas y Meteorología")</f>
        <v>0</v>
      </c>
      <c r="Y70" s="5">
        <f>COUNTIFS(   A4:A451,"2014", D4:D451,"Ciencias Atmosféricas y Meteorología")</f>
        <v>0</v>
      </c>
      <c r="Z70" s="5">
        <f>COUNTIFS(   A4:A451,"2015", D4:D451,"Ciencias Atmosféricas y Meteorología")</f>
        <v>0</v>
      </c>
      <c r="AA70" s="5">
        <f>COUNTIFS(   A4:A451,"2016", D4:D451,"Ciencias Atmosféricas y Meteorología")</f>
        <v>0</v>
      </c>
      <c r="AB70" s="5">
        <f>COUNTIFS(   A4:A451,"2017", D4:D451,"Ciencias Atmosféricas y Meteorología")</f>
        <v>2</v>
      </c>
      <c r="AC70" s="29">
        <f>COUNTIFS(   N4:N451,"2014", D4:D451,"Ciencias Atmosféricas y Meteorología")</f>
        <v>0</v>
      </c>
      <c r="AD70" s="5">
        <f>COUNTIFS(   N4:N451,"2015", D4:D451,"Ciencias Atmosféricas y Meteorología")</f>
        <v>0</v>
      </c>
      <c r="AE70" s="5">
        <f>COUNTIFS(   N4:N451,"2016", D4:D451,"Ciencias Atmosféricas y Meteorología")</f>
        <v>0</v>
      </c>
      <c r="AF70" s="5">
        <f>COUNTIFS(   N4:N451,"2017", D4:D451,"Ciencias Atmosféricas y Meteorología")</f>
        <v>0</v>
      </c>
      <c r="AG70" s="5">
        <f>COUNTIFS(   N4:N451,"2018", D4:D451,"Ciencias Atmosféricas y Meteorología")</f>
        <v>2</v>
      </c>
      <c r="AH70" s="5">
        <f>COUNTIFS(   D4:D451,"Ciencias Atmosféricas y Meteorología",G4:G451,"Sí")</f>
        <v>1</v>
      </c>
      <c r="AI70" s="5">
        <f>COUNTIFS(   D4:D451,"Ciencias Atmosféricas y Meteorología",G4:G451,"No")</f>
        <v>1</v>
      </c>
      <c r="AJ70" s="5">
        <f>SUMIFS( E4:E451, D4:D451,"Ciencias Atmosféricas y Meteorología",G4:G451,"Sí")</f>
        <v>6</v>
      </c>
      <c r="AK70" s="5">
        <f>SUMIFS( E4:E451, D4:D451,"Ciencias Atmosféricas y Meteorología",G4:G451,"No")</f>
        <v>2</v>
      </c>
      <c r="AL70" s="5">
        <f>COUNTIFS(   D4:D451,"Ciencias Atmosféricas y Meteorología",H4:H451,"Sí")</f>
        <v>0</v>
      </c>
      <c r="AM70" s="5">
        <f>COUNTIFS(   D4:D451,"Ciencias Atmosféricas y Meteorología",I4:I451,"Sí")</f>
        <v>1</v>
      </c>
      <c r="AN70" s="5">
        <f>COUNTIFS(   D4:D451,"Ciencias Atmosféricas y Meteorología",I4:I451,"No")</f>
        <v>1</v>
      </c>
      <c r="AO70" s="5">
        <f>SUMIFS( E4:E451, D4:D451,"Ciencias Atmosféricas y Meteorología",I4:I451,"Sí")</f>
        <v>2</v>
      </c>
      <c r="AP70" s="5">
        <f>SUMIFS( E4:E451, D4:D451,"Ciencias Atmosféricas y Meteorología",I4:I451,"No")</f>
        <v>6</v>
      </c>
      <c r="AQ70" s="5">
        <f>COUNTIFS(   D4:D451,"Ciencias Atmosféricas y Meteorología",J4:J451,"Sí")</f>
        <v>1</v>
      </c>
      <c r="AR70" s="5">
        <f>COUNTIFS(   D4:D451,"Ciencias Atmosféricas y Meteorología",K4:K451,"Sí")</f>
        <v>0</v>
      </c>
      <c r="AS70" s="5">
        <f>COUNTIFS(   D4:D451,"Ciencias Atmosféricas y Meteorología",L4:L451,"Sí")</f>
        <v>1</v>
      </c>
      <c r="AT70" s="5">
        <f>SUMIFS( E4:E451, D4:D451,"Ciencias Atmosféricas y Meteorología")</f>
        <v>8</v>
      </c>
      <c r="AU70" s="5">
        <f>SUMIFS( E4:E451, F4:F451,"Hombre", D4:D451,"Ciencias Atmosféricas y Meteorología")</f>
        <v>6</v>
      </c>
      <c r="AV70" s="5">
        <f>SUMIFS( E4:E451, F4:F451,"Mujer", D4:D451,"Ciencias Atmosféricas y Meteorología")</f>
        <v>2</v>
      </c>
      <c r="AW70" s="29">
        <f>SUMIFS( E4:E451, A4:A451,"2013", D4:D451,"Ciencias Atmosféricas y Meteorología")</f>
        <v>0</v>
      </c>
      <c r="AX70" s="5">
        <f>SUMIFS( E4:E451, A4:A451,"2014", D4:D451,"Ciencias Atmosféricas y Meteorología")</f>
        <v>0</v>
      </c>
      <c r="AY70" s="5">
        <f>SUMIFS( E4:E451, A4:A451,"2015", D4:D451,"Ciencias Atmosféricas y Meteorología")</f>
        <v>0</v>
      </c>
      <c r="AZ70" s="5">
        <f>SUMIFS( E4:E451, A4:A451,"2016", D4:D451,"Ciencias Atmosféricas y Meteorología")</f>
        <v>0</v>
      </c>
      <c r="BA70" s="5">
        <f>SUMIFS( E4:E451, A4:A451,"2017", D4:D451,"Ciencias Atmosféricas y Meteorología")</f>
        <v>8</v>
      </c>
      <c r="BB70" s="29">
        <f>SUMIFS( E4:E451, N4:N451,"2014", D4:D451,"Ciencias Atmosféricas y Meteorología")</f>
        <v>0</v>
      </c>
      <c r="BC70" s="5">
        <f>SUMIFS( E4:E451, N4:N451,"2015", D4:D451,"Ciencias Atmosféricas y Meteorología")</f>
        <v>0</v>
      </c>
      <c r="BD70" s="5">
        <f>SUMIFS( E4:E451, N4:N451,"2016", D4:D451,"Ciencias Atmosféricas y Meteorología")</f>
        <v>0</v>
      </c>
      <c r="BE70" s="5">
        <f>SUMIFS( E4:E451, N4:N451,"2017", D4:D451,"Ciencias Atmosféricas y Meteorología")</f>
        <v>0</v>
      </c>
      <c r="BF70" s="5">
        <f>SUMIFS( E4:E451, N4:N451,"2018", D4:D451,"Ciencias Atmosféricas y Meteorología")</f>
        <v>8</v>
      </c>
      <c r="BG70" s="23">
        <f>AVERAGEIFS( E4:E451, D4:D451,"Ciencias Atmosféricas y Meteorología")</f>
        <v>4</v>
      </c>
      <c r="BH70" s="23">
        <v>0</v>
      </c>
      <c r="BI70" s="23">
        <v>0</v>
      </c>
      <c r="BJ70" s="23">
        <v>0</v>
      </c>
      <c r="BK70" s="23">
        <v>0</v>
      </c>
      <c r="BL70" s="23">
        <f>AVERAGEIFS( E4:E451, A4:A451,"2017", D4:D451,"Ciencias Atmosféricas y Meteorología")</f>
        <v>4</v>
      </c>
      <c r="BM70" s="23">
        <v>4</v>
      </c>
      <c r="BN70" s="23">
        <v>0</v>
      </c>
      <c r="BO70" s="23">
        <v>0</v>
      </c>
      <c r="BP70" s="23">
        <v>0</v>
      </c>
      <c r="BQ70" s="23">
        <v>0</v>
      </c>
      <c r="BR70" s="23">
        <v>4</v>
      </c>
    </row>
    <row r="71" spans="1:70" ht="15" customHeight="1" x14ac:dyDescent="0.25">
      <c r="A71">
        <v>2015</v>
      </c>
      <c r="B71" t="s">
        <v>4</v>
      </c>
      <c r="C71" t="s">
        <v>18</v>
      </c>
      <c r="D71" t="s">
        <v>22</v>
      </c>
      <c r="E71" s="17">
        <v>3</v>
      </c>
      <c r="F71" t="s">
        <v>211</v>
      </c>
      <c r="G71" t="s">
        <v>233</v>
      </c>
      <c r="H71" t="s">
        <v>233</v>
      </c>
      <c r="I71" t="s">
        <v>233</v>
      </c>
      <c r="J71" t="s">
        <v>234</v>
      </c>
      <c r="K71" t="s">
        <v>234</v>
      </c>
      <c r="L71" t="s">
        <v>234</v>
      </c>
      <c r="M71" s="14">
        <v>42548</v>
      </c>
      <c r="N71" s="14" t="str">
        <f t="shared" si="1"/>
        <v>2016</v>
      </c>
      <c r="O71" s="55" t="s">
        <v>97</v>
      </c>
      <c r="P71" s="56"/>
      <c r="Q71" s="56"/>
      <c r="R71" s="56"/>
      <c r="S71" s="56"/>
      <c r="T71" s="57"/>
      <c r="U71" s="5">
        <f>COUNTIFS(   D4:D451,"Física Atómica, Molecular y Nuclear")</f>
        <v>1</v>
      </c>
      <c r="V71" s="5">
        <f>COUNTIFS(   D4:D451,"Física Atómica, Molecular y Nuclear",F4:F451,"Hombre")</f>
        <v>1</v>
      </c>
      <c r="W71" s="5">
        <f>COUNTIFS(   D4:D451,"Física Atómica, Molecular y Nuclear",F4:F451,"Mujer")</f>
        <v>0</v>
      </c>
      <c r="X71" s="29">
        <f>COUNTIFS(   A4:A451,"2013", D4:D451,"Física Atómica, Molecular y Nuclear")</f>
        <v>0</v>
      </c>
      <c r="Y71" s="5">
        <f>COUNTIFS(   A4:A451,"2014", D4:D451,"Física Atómica, Molecular y Nuclear")</f>
        <v>0</v>
      </c>
      <c r="Z71" s="5">
        <f>COUNTIFS(   A4:A451,"2015", D4:D451,"Física Atómica, Molecular y Nuclear")</f>
        <v>0</v>
      </c>
      <c r="AA71" s="5">
        <f>COUNTIFS(   A4:A451,"2016", D4:D451,"Física Atómica, Molecular y Nuclear")</f>
        <v>0</v>
      </c>
      <c r="AB71" s="5">
        <f>COUNTIFS(   A4:A451,"2017", D4:D451,"Física Atómica, Molecular y Nuclear")</f>
        <v>1</v>
      </c>
      <c r="AC71" s="29">
        <f>COUNTIFS(   N4:N451,"2014", D4:D451,"Física Atómica, Molecular y Nuclear")</f>
        <v>0</v>
      </c>
      <c r="AD71" s="5">
        <f>COUNTIFS(   N4:N451,"2015", D4:D451,"Física Atómica, Molecular y Nuclear")</f>
        <v>0</v>
      </c>
      <c r="AE71" s="5">
        <f>COUNTIFS(   N4:N451,"2016", D4:D451,"Física Atómica, Molecular y Nuclear")</f>
        <v>0</v>
      </c>
      <c r="AF71" s="5">
        <f>COUNTIFS(   N4:N451,"2017", D4:D451,"Física Atómica, Molecular y Nuclear")</f>
        <v>0</v>
      </c>
      <c r="AG71" s="5">
        <f>COUNTIFS(   N4:N451,"2018", D4:D451,"Física Atómica, Molecular y Nuclear")</f>
        <v>1</v>
      </c>
      <c r="AH71" s="5">
        <f>COUNTIFS(   D4:D451,"Física Atómica, Molecular y Nuclear",G4:G451,"Sí")</f>
        <v>0</v>
      </c>
      <c r="AI71" s="5">
        <f>COUNTIFS(   D4:D451,"Física Atómica, Molecular y Nuclear",G4:G451,"No")</f>
        <v>1</v>
      </c>
      <c r="AJ71" s="5">
        <f>SUMIFS( E4:E451, D4:D451,"Física Atómica, Molecular y Nuclear",G4:G451,"Sí")</f>
        <v>0</v>
      </c>
      <c r="AK71" s="5">
        <f>SUMIFS( E4:E451, D4:D451,"Física Atómica, Molecular y Nuclear",G4:G451,"No")</f>
        <v>7</v>
      </c>
      <c r="AL71" s="5">
        <f>COUNTIFS(   D4:D451,"Física Atómica, Molecular y Nuclear",H4:H451,"Sí")</f>
        <v>0</v>
      </c>
      <c r="AM71" s="5">
        <f>COUNTIFS(   D4:D451,"Física Atómica, Molecular y Nuclear",I4:I451,"Sí")</f>
        <v>0</v>
      </c>
      <c r="AN71" s="5">
        <f>COUNTIFS(   D4:D451,"Física Atómica, Molecular y Nuclear",I4:I451,"No")</f>
        <v>1</v>
      </c>
      <c r="AO71" s="5">
        <f>SUMIFS( E4:E451, D4:D451,"Física Atómica, Molecular y Nuclear",I4:I451,"Sí")</f>
        <v>0</v>
      </c>
      <c r="AP71" s="5">
        <f>SUMIFS( E4:E451, D4:D451,"Física Atómica, Molecular y Nuclear",I4:I451,"No")</f>
        <v>7</v>
      </c>
      <c r="AQ71" s="5">
        <f>COUNTIFS(   D4:D451,"Física Atómica, Molecular y Nuclear",J4:J451,"Sí")</f>
        <v>1</v>
      </c>
      <c r="AR71" s="5">
        <f>COUNTIFS(   D4:D451,"Física Atómica, Molecular y Nuclear",K4:K451,"Sí")</f>
        <v>0</v>
      </c>
      <c r="AS71" s="5">
        <f>COUNTIFS(   D4:D451,"Física Atómica, Molecular y Nuclear",L4:L451,"Sí")</f>
        <v>1</v>
      </c>
      <c r="AT71" s="5">
        <f>SUMIFS( E4:E451, D4:D451,"Física Atómica, Molecular y Nuclear")</f>
        <v>7</v>
      </c>
      <c r="AU71" s="5">
        <f>SUMIFS( E4:E451, F4:F451,"Hombre", D4:D451,"Física Atómica, Molecular y Nuclear")</f>
        <v>7</v>
      </c>
      <c r="AV71" s="5">
        <f>SUMIFS( E4:E451, F4:F451,"Mujer", D4:D451,"Física Atómica, Molecular y Nuclear")</f>
        <v>0</v>
      </c>
      <c r="AW71" s="29">
        <f>SUMIFS( E4:E451, A4:A451,"2013", D4:D451,"Física Atómica, Molecular y Nuclear")</f>
        <v>0</v>
      </c>
      <c r="AX71" s="5">
        <f>SUMIFS( E4:E451, A4:A451,"2014", D4:D451,"Física Atómica, Molecular y Nuclear")</f>
        <v>0</v>
      </c>
      <c r="AY71" s="5">
        <f>SUMIFS( E4:E451, A4:A451,"2015", D4:D451,"Física Atómica, Molecular y Nuclear")</f>
        <v>0</v>
      </c>
      <c r="AZ71" s="5">
        <f>SUMIFS( E4:E451, A4:A451,"2016", D4:D451,"Física Atómica, Molecular y Nuclear")</f>
        <v>0</v>
      </c>
      <c r="BA71" s="5">
        <f>SUMIFS( E4:E451, A4:A451,"2017", D4:D451,"Física Atómica, Molecular y Nuclear")</f>
        <v>7</v>
      </c>
      <c r="BB71" s="29">
        <f>SUMIFS( E4:E451, N4:N451,"2014", D4:D451,"Física Atómica, Molecular y Nuclear")</f>
        <v>0</v>
      </c>
      <c r="BC71" s="5">
        <f>SUMIFS( E4:E451, N4:N451,"2015", D4:D451,"Física Atómica, Molecular y Nuclear")</f>
        <v>0</v>
      </c>
      <c r="BD71" s="5">
        <f>SUMIFS( E4:E451, N4:N451,"2016", D4:D451,"Física Atómica, Molecular y Nuclear")</f>
        <v>0</v>
      </c>
      <c r="BE71" s="5">
        <f>SUMIFS( E4:E451, N4:N451,"2017", D4:D451,"Física Atómica, Molecular y Nuclear")</f>
        <v>0</v>
      </c>
      <c r="BF71" s="5">
        <f>SUMIFS( E4:E451, N4:N451,"2018", D4:D451,"Física Atómica, Molecular y Nuclear")</f>
        <v>7</v>
      </c>
      <c r="BG71" s="23">
        <f>AVERAGEIFS( E4:E451, D4:D451,"Física Atómica, Molecular y Nuclear")</f>
        <v>7</v>
      </c>
      <c r="BH71" s="23">
        <v>0</v>
      </c>
      <c r="BI71" s="23">
        <v>0</v>
      </c>
      <c r="BJ71" s="23">
        <v>0</v>
      </c>
      <c r="BK71" s="23">
        <v>0</v>
      </c>
      <c r="BL71" s="23">
        <f>AVERAGEIFS( E4:E451, A4:A451,"2017", D4:D451,"Física Atómica, Molecular y Nuclear")</f>
        <v>7</v>
      </c>
      <c r="BM71" s="23">
        <v>7</v>
      </c>
      <c r="BN71" s="23">
        <v>0</v>
      </c>
      <c r="BO71" s="23">
        <v>0</v>
      </c>
      <c r="BP71" s="23">
        <v>0</v>
      </c>
      <c r="BQ71" s="23">
        <v>0</v>
      </c>
      <c r="BR71" s="23">
        <v>7</v>
      </c>
    </row>
    <row r="72" spans="1:70" ht="15" customHeight="1" x14ac:dyDescent="0.25">
      <c r="A72">
        <v>2015</v>
      </c>
      <c r="B72" t="s">
        <v>4</v>
      </c>
      <c r="C72" t="s">
        <v>18</v>
      </c>
      <c r="D72" t="s">
        <v>22</v>
      </c>
      <c r="E72">
        <v>12</v>
      </c>
      <c r="F72" t="s">
        <v>211</v>
      </c>
      <c r="G72" t="s">
        <v>233</v>
      </c>
      <c r="H72" t="s">
        <v>233</v>
      </c>
      <c r="I72" t="s">
        <v>233</v>
      </c>
      <c r="J72" t="s">
        <v>234</v>
      </c>
      <c r="K72" t="s">
        <v>233</v>
      </c>
      <c r="L72" t="s">
        <v>234</v>
      </c>
      <c r="M72" s="14">
        <v>42431</v>
      </c>
      <c r="N72" s="14" t="str">
        <f t="shared" si="1"/>
        <v>2016</v>
      </c>
      <c r="O72" s="55" t="s">
        <v>101</v>
      </c>
      <c r="P72" s="56"/>
      <c r="Q72" s="56"/>
      <c r="R72" s="56"/>
      <c r="S72" s="56"/>
      <c r="T72" s="57"/>
      <c r="U72" s="5">
        <f>COUNTIFS(   D4:D451,"Física de Dispositivos Electrónicos y Semiconductores")</f>
        <v>2</v>
      </c>
      <c r="V72" s="5">
        <f>COUNTIFS(   D4:D451,"Física de Dispositivos Electrónicos y Semiconductores",F4:F451,"Hombre")</f>
        <v>1</v>
      </c>
      <c r="W72" s="5">
        <f>COUNTIFS(   D4:D451,"Física de Dispositivos Electrónicos y Semiconductores",F4:F451,"Mujer")</f>
        <v>1</v>
      </c>
      <c r="X72" s="29">
        <f>COUNTIFS(   A4:A451,"2013", D4:D451,"Física de Dispositivos Electrónicos y Semiconductores")</f>
        <v>0</v>
      </c>
      <c r="Y72" s="5">
        <f>COUNTIFS(   A4:A451,"2014", D4:D451,"Física de Dispositivos Electrónicos y Semiconductores")</f>
        <v>0</v>
      </c>
      <c r="Z72" s="5">
        <f>COUNTIFS(   A4:A451,"2015", D4:D451,"Física de Dispositivos Electrónicos y Semiconductores")</f>
        <v>0</v>
      </c>
      <c r="AA72" s="5">
        <f>COUNTIFS(   A4:A451,"2016", D4:D451,"Física de Dispositivos Electrónicos y Semiconductores")</f>
        <v>2</v>
      </c>
      <c r="AB72" s="5">
        <f>COUNTIFS(   A4:A451,"2017", D4:D451,"Física de Dispositivos Electrónicos y Semiconductores")</f>
        <v>0</v>
      </c>
      <c r="AC72" s="29">
        <f>COUNTIFS(   N4:N451,"2014", D4:D451,"Física de Dispositivos Electrónicos y Semiconductores")</f>
        <v>0</v>
      </c>
      <c r="AD72" s="5">
        <f>COUNTIFS(   N4:N451,"2015", D4:D451,"Física de Dispositivos Electrónicos y Semiconductores")</f>
        <v>0</v>
      </c>
      <c r="AE72" s="5">
        <f>COUNTIFS(   N4:N451,"2016", D4:D451,"Física de Dispositivos Electrónicos y Semiconductores")</f>
        <v>0</v>
      </c>
      <c r="AF72" s="5">
        <f>COUNTIFS(   N4:N451,"2017", D4:D451,"Física de Dispositivos Electrónicos y Semiconductores")</f>
        <v>2</v>
      </c>
      <c r="AG72" s="5">
        <f>COUNTIFS(   N4:N451,"2018", D4:D451,"Física de Dispositivos Electrónicos y Semiconductores")</f>
        <v>0</v>
      </c>
      <c r="AH72" s="5">
        <f>COUNTIFS(   D4:D451,"Física de Dispositivos Electrónicos y Semiconductores",G4:G451,"Sí")</f>
        <v>0</v>
      </c>
      <c r="AI72" s="5">
        <f>COUNTIFS(   D4:D451,"Física de Dispositivos Electrónicos y Semiconductores",G4:G451,"No")</f>
        <v>2</v>
      </c>
      <c r="AJ72" s="5">
        <f>SUMIFS( E4:E451, D4:D451,"Física de Dispositivos Electrónicos y Semiconductores",G4:G451,"Sí")</f>
        <v>0</v>
      </c>
      <c r="AK72" s="5">
        <f>SUMIFS( E4:E451, D4:D451,"Física de Dispositivos Electrónicos y Semiconductores",G4:G451,"No")</f>
        <v>32</v>
      </c>
      <c r="AL72" s="5">
        <f>COUNTIFS(   D4:D451,"Física de Dispositivos Electrónicos y Semiconductores",H4:H451,"Sí")</f>
        <v>1</v>
      </c>
      <c r="AM72" s="5">
        <f>COUNTIFS(   D4:D451,"Física de Dispositivos Electrónicos y Semiconductores",I4:I451,"Sí")</f>
        <v>2</v>
      </c>
      <c r="AN72" s="5">
        <f>COUNTIFS(   D4:D451,"Física de Dispositivos Electrónicos y Semiconductores",I4:I451,"No")</f>
        <v>0</v>
      </c>
      <c r="AO72" s="5">
        <f>SUMIFS( E4:E451, D4:D451,"Física de Dispositivos Electrónicos y Semiconductores",I4:I451,"Sí")</f>
        <v>32</v>
      </c>
      <c r="AP72" s="5">
        <f>SUMIFS( E4:E451, D4:D451,"Física de Dispositivos Electrónicos y Semiconductores",I4:I451,"No")</f>
        <v>0</v>
      </c>
      <c r="AQ72" s="5">
        <f>COUNTIFS(   D4:D451,"Física de Dispositivos Electrónicos y Semiconductores",J4:J451,"Sí")</f>
        <v>2</v>
      </c>
      <c r="AR72" s="5">
        <f>COUNTIFS(   D4:D451,"Física de Dispositivos Electrónicos y Semiconductores",K4:K451,"Sí")</f>
        <v>0</v>
      </c>
      <c r="AS72" s="5">
        <f>COUNTIFS(   D4:D451,"Física de Dispositivos Electrónicos y Semiconductores",L4:L451,"Sí")</f>
        <v>2</v>
      </c>
      <c r="AT72" s="5">
        <f>SUMIFS( E4:E451, D4:D451,"Física de Dispositivos Electrónicos y Semiconductores")</f>
        <v>32</v>
      </c>
      <c r="AU72" s="5">
        <f>SUMIFS( E4:E451, F4:F451,"Hombre", D4:D451,"Física de Dispositivos Electrónicos y Semiconductores")</f>
        <v>19</v>
      </c>
      <c r="AV72" s="5">
        <f>SUMIFS( E4:E451, F4:F451,"Mujer", D4:D451,"Física de Dispositivos Electrónicos y Semiconductores")</f>
        <v>13</v>
      </c>
      <c r="AW72" s="29">
        <f>SUMIFS( E4:E451, A4:A451,"2013", D4:D451,"Física de Dispositivos Electrónicos y Semiconductores")</f>
        <v>0</v>
      </c>
      <c r="AX72" s="5">
        <f>SUMIFS( E4:E451, A4:A451,"2014", D4:D451,"Física de Dispositivos Electrónicos y Semiconductores")</f>
        <v>0</v>
      </c>
      <c r="AY72" s="5">
        <f>SUMIFS( E4:E451, A4:A451,"2015", D4:D451,"Física de Dispositivos Electrónicos y Semiconductores")</f>
        <v>0</v>
      </c>
      <c r="AZ72" s="5">
        <f>SUMIFS( E4:E451, A4:A451,"2016", D4:D451,"Física de Dispositivos Electrónicos y Semiconductores")</f>
        <v>32</v>
      </c>
      <c r="BA72" s="5">
        <f>SUMIFS( E4:E451, A4:A451,"2017", D4:D451,"Física de Dispositivos Electrónicos y Semiconductores")</f>
        <v>0</v>
      </c>
      <c r="BB72" s="29">
        <f>SUMIFS( E4:E451, N4:N451,"2014", D4:D451,"Física de Dispositivos Electrónicos y Semiconductores")</f>
        <v>0</v>
      </c>
      <c r="BC72" s="5">
        <f>SUMIFS( E4:E451, N4:N451,"2015", D4:D451,"Física de Dispositivos Electrónicos y Semiconductores")</f>
        <v>0</v>
      </c>
      <c r="BD72" s="5">
        <f>SUMIFS( E4:E451, N4:N451,"2016", D4:D451,"Física de Dispositivos Electrónicos y Semiconductores")</f>
        <v>0</v>
      </c>
      <c r="BE72" s="5">
        <f>SUMIFS( E4:E451, N4:N451,"2017", D4:D451,"Física de Dispositivos Electrónicos y Semiconductores")</f>
        <v>32</v>
      </c>
      <c r="BF72" s="5">
        <f>SUMIFS( E4:E451, N4:N451,"2018", D4:D451,"Física de Dispositivos Electrónicos y Semiconductores")</f>
        <v>0</v>
      </c>
      <c r="BG72" s="23">
        <f>AVERAGEIFS( E4:E451, D4:D451,"Física de Dispositivos Electrónicos y Semiconductores")</f>
        <v>16</v>
      </c>
      <c r="BH72" s="23">
        <v>0</v>
      </c>
      <c r="BI72" s="23">
        <v>0</v>
      </c>
      <c r="BJ72" s="23">
        <v>0</v>
      </c>
      <c r="BK72" s="23">
        <f>AVERAGEIFS( E4:E451, A4:A451,"2016", D4:D451,"Física de Dispositivos Electrónicos y Semiconductores")</f>
        <v>16</v>
      </c>
      <c r="BL72" s="23">
        <v>0</v>
      </c>
      <c r="BM72" s="23">
        <v>16</v>
      </c>
      <c r="BN72" s="23">
        <v>0</v>
      </c>
      <c r="BO72" s="23">
        <v>0</v>
      </c>
      <c r="BP72" s="23">
        <v>0</v>
      </c>
      <c r="BQ72" s="23">
        <v>16</v>
      </c>
      <c r="BR72" s="23">
        <v>0</v>
      </c>
    </row>
    <row r="73" spans="1:70" ht="15" customHeight="1" x14ac:dyDescent="0.25">
      <c r="A73">
        <v>2015</v>
      </c>
      <c r="B73" t="s">
        <v>4</v>
      </c>
      <c r="C73" t="s">
        <v>18</v>
      </c>
      <c r="D73" t="s">
        <v>22</v>
      </c>
      <c r="E73">
        <v>7</v>
      </c>
      <c r="F73" t="s">
        <v>215</v>
      </c>
      <c r="G73" t="s">
        <v>233</v>
      </c>
      <c r="H73" t="s">
        <v>233</v>
      </c>
      <c r="I73" t="s">
        <v>233</v>
      </c>
      <c r="J73" t="s">
        <v>234</v>
      </c>
      <c r="K73" t="s">
        <v>233</v>
      </c>
      <c r="L73" t="s">
        <v>234</v>
      </c>
      <c r="M73" s="14">
        <v>42328</v>
      </c>
      <c r="N73" s="14" t="str">
        <f t="shared" si="1"/>
        <v>2015</v>
      </c>
      <c r="O73" s="55" t="s">
        <v>100</v>
      </c>
      <c r="P73" s="56"/>
      <c r="Q73" s="56"/>
      <c r="R73" s="56"/>
      <c r="S73" s="56"/>
      <c r="T73" s="57"/>
      <c r="U73" s="5">
        <f>COUNTIFS(   D4:D451,"Física de Partículas, Astropartículas y Cosmología")</f>
        <v>3</v>
      </c>
      <c r="V73" s="5">
        <f>COUNTIFS(   D4:D451,"Física de Partículas, Astropartículas y Cosmología",F4:F451,"Hombre")</f>
        <v>3</v>
      </c>
      <c r="W73" s="5">
        <f>COUNTIFS(   D4:D451,"Física de Partículas, Astropartículas y Cosmología",F4:F451,"Mujer")</f>
        <v>0</v>
      </c>
      <c r="X73" s="29">
        <f>COUNTIFS(   A4:A451,"2013", D4:D451,"Física de Partículas, Astropartículas y Cosmología")</f>
        <v>0</v>
      </c>
      <c r="Y73" s="5">
        <f>COUNTIFS(   A4:A451,"2014", D4:D451,"Física de Partículas, Astropartículas y Cosmología")</f>
        <v>1</v>
      </c>
      <c r="Z73" s="5">
        <f>COUNTIFS(   A4:A451,"2015", D4:D451,"Física de Partículas, Astropartículas y Cosmología")</f>
        <v>1</v>
      </c>
      <c r="AA73" s="5">
        <f>COUNTIFS(   A4:A451,"2016", D4:D451,"Física de Partículas, Astropartículas y Cosmología")</f>
        <v>1</v>
      </c>
      <c r="AB73" s="5">
        <f>COUNTIFS(   A4:A451,"2017", D4:D451,"Física de Partículas, Astropartículas y Cosmología")</f>
        <v>0</v>
      </c>
      <c r="AC73" s="29">
        <f>COUNTIFS(   N4:N451,"2014", D4:D451,"Física de Partículas, Astropartículas y Cosmología")</f>
        <v>0</v>
      </c>
      <c r="AD73" s="5">
        <f>COUNTIFS(   N4:N451,"2015", D4:D451,"Física de Partículas, Astropartículas y Cosmología")</f>
        <v>2</v>
      </c>
      <c r="AE73" s="5">
        <f>COUNTIFS(   N4:N451,"2016", D4:D451,"Física de Partículas, Astropartículas y Cosmología")</f>
        <v>0</v>
      </c>
      <c r="AF73" s="5">
        <f>COUNTIFS(   N4:N451,"2017", D4:D451,"Física de Partículas, Astropartículas y Cosmología")</f>
        <v>1</v>
      </c>
      <c r="AG73" s="5">
        <f>COUNTIFS(   N4:N451,"2018", D4:D451,"Física de Partículas, Astropartículas y Cosmología")</f>
        <v>0</v>
      </c>
      <c r="AH73" s="5">
        <f>COUNTIFS(   D4:D451,"Física de Partículas, Astropartículas y Cosmología",G4:G451,"Sí")</f>
        <v>0</v>
      </c>
      <c r="AI73" s="5">
        <f>COUNTIFS(   D4:D451,"Física de Partículas, Astropartículas y Cosmología",G4:G451,"No")</f>
        <v>3</v>
      </c>
      <c r="AJ73" s="5">
        <f>SUMIFS( E4:E451, D4:D451,"Física de Partículas, Astropartículas y Cosmología",G4:G451,"Sí")</f>
        <v>0</v>
      </c>
      <c r="AK73" s="5">
        <f>SUMIFS( E4:E451, D4:D451,"Física de Partículas, Astropartículas y Cosmología",G4:G451,"No")</f>
        <v>20</v>
      </c>
      <c r="AL73" s="5">
        <f>COUNTIFS(   D4:D451,"Física de Partículas, Astropartículas y Cosmología",H4:H451,"Sí")</f>
        <v>0</v>
      </c>
      <c r="AM73" s="5">
        <f>COUNTIFS(   D4:D451,"Física de Partículas, Astropartículas y Cosmología",I4:I451,"Sí")</f>
        <v>1</v>
      </c>
      <c r="AN73" s="5">
        <f>COUNTIFS(   D4:D451,"Física de Partículas, Astropartículas y Cosmología",I4:I451,"No")</f>
        <v>2</v>
      </c>
      <c r="AO73" s="5">
        <f>SUMIFS( E4:E451, D4:D451,"Física de Partículas, Astropartículas y Cosmología",I4:I451,"Sí")</f>
        <v>6</v>
      </c>
      <c r="AP73" s="5">
        <f>SUMIFS( E4:E451, D4:D451,"Física de Partículas, Astropartículas y Cosmología",I4:I451,"No")</f>
        <v>14</v>
      </c>
      <c r="AQ73" s="5">
        <f>COUNTIFS(   D4:D451,"Física de Partículas, Astropartículas y Cosmología",J4:J451,"Sí")</f>
        <v>3</v>
      </c>
      <c r="AR73" s="5">
        <f>COUNTIFS(   D4:D451,"Física de Partículas, Astropartículas y Cosmología",K4:K451,"Sí")</f>
        <v>0</v>
      </c>
      <c r="AS73" s="5">
        <f>COUNTIFS(   D4:D451,"Física de Partículas, Astropartículas y Cosmología",L4:L451,"Sí")</f>
        <v>3</v>
      </c>
      <c r="AT73" s="5">
        <f>SUMIFS( E4:E451, D4:D451,"Física de Partículas, Astropartículas y Cosmología")</f>
        <v>20</v>
      </c>
      <c r="AU73" s="5">
        <f>SUMIFS( E4:E451, F4:F451,"Hombre", D4:D451,"Física de Partículas, Astropartículas y Cosmología")</f>
        <v>20</v>
      </c>
      <c r="AV73" s="5">
        <f>SUMIFS( E4:E451, F4:F451,"Mujer", D4:D451,"Física de Partículas, Astropartículas y Cosmología")</f>
        <v>0</v>
      </c>
      <c r="AW73" s="29">
        <f>SUMIFS( E4:E451, A4:A451,"2013", D4:D451,"Física de Partículas, Astropartículas y Cosmología")</f>
        <v>0</v>
      </c>
      <c r="AX73" s="5">
        <f>SUMIFS( E4:E451, A4:A451,"2014", D4:D451,"Física de Partículas, Astropartículas y Cosmología")</f>
        <v>8</v>
      </c>
      <c r="AY73" s="5">
        <f>SUMIFS( E4:E451, A4:A451,"2015", D4:D451,"Física de Partículas, Astropartículas y Cosmología")</f>
        <v>6</v>
      </c>
      <c r="AZ73" s="5">
        <f>SUMIFS( E4:E451, A4:A451,"2016", D4:D451,"Física de Partículas, Astropartículas y Cosmología")</f>
        <v>6</v>
      </c>
      <c r="BA73" s="5">
        <f>SUMIFS( E4:E451, A4:A451,"2017", D4:D451,"Física de Partículas, Astropartículas y Cosmología")</f>
        <v>0</v>
      </c>
      <c r="BB73" s="29">
        <f>SUMIFS( E4:E451, N4:N451,"2014", D4:D451,"Física de Partículas, Astropartículas y Cosmología")</f>
        <v>0</v>
      </c>
      <c r="BC73" s="5">
        <f>SUMIFS( E4:E451, N4:N451,"2015", D4:D451,"Física de Partículas, Astropartículas y Cosmología")</f>
        <v>14</v>
      </c>
      <c r="BD73" s="5">
        <f>SUMIFS( E4:E451, N4:N451,"2016", D4:D451,"Física de Partículas, Astropartículas y Cosmología")</f>
        <v>0</v>
      </c>
      <c r="BE73" s="5">
        <f>SUMIFS( E4:E451, N4:N451,"2017", D4:D451,"Física de Partículas, Astropartículas y Cosmología")</f>
        <v>6</v>
      </c>
      <c r="BF73" s="5">
        <f>SUMIFS( E4:E451, N4:N451,"2018", D4:D451,"Física de Partículas, Astropartículas y Cosmología")</f>
        <v>0</v>
      </c>
      <c r="BG73" s="23">
        <f>AVERAGEIFS( E4:E451, D4:D451,"Física de Partículas, Astropartículas y Cosmología")</f>
        <v>6.666666666666667</v>
      </c>
      <c r="BH73" s="23">
        <v>0</v>
      </c>
      <c r="BI73" s="23">
        <f>AVERAGEIFS( E4:E451, A4:A451,"2014", D4:D451,"Física de Partículas, Astropartículas y Cosmología")</f>
        <v>8</v>
      </c>
      <c r="BJ73" s="23">
        <f>AVERAGEIFS( E4:E451, A4:A451,"2015", D4:D451,"Física de Partículas, Astropartículas y Cosmología")</f>
        <v>6</v>
      </c>
      <c r="BK73" s="23">
        <f>AVERAGEIFS( E4:E451, A4:A451,"2016", D4:D451,"Física de Partículas, Astropartículas y Cosmología")</f>
        <v>6</v>
      </c>
      <c r="BL73" s="23">
        <v>0</v>
      </c>
      <c r="BM73" s="23">
        <v>6.666666666666667</v>
      </c>
      <c r="BN73" s="23">
        <v>0</v>
      </c>
      <c r="BO73" s="23">
        <v>8</v>
      </c>
      <c r="BP73" s="23">
        <v>6</v>
      </c>
      <c r="BQ73" s="23">
        <v>6</v>
      </c>
      <c r="BR73" s="23">
        <v>0</v>
      </c>
    </row>
    <row r="74" spans="1:70" ht="15" customHeight="1" x14ac:dyDescent="0.25">
      <c r="A74">
        <v>2014</v>
      </c>
      <c r="B74" t="s">
        <v>4</v>
      </c>
      <c r="C74" t="s">
        <v>18</v>
      </c>
      <c r="D74" t="s">
        <v>20</v>
      </c>
      <c r="E74">
        <v>5</v>
      </c>
      <c r="F74" t="s">
        <v>215</v>
      </c>
      <c r="G74" t="s">
        <v>233</v>
      </c>
      <c r="H74" t="s">
        <v>233</v>
      </c>
      <c r="I74" t="s">
        <v>233</v>
      </c>
      <c r="J74" t="s">
        <v>234</v>
      </c>
      <c r="K74" t="s">
        <v>233</v>
      </c>
      <c r="L74" t="s">
        <v>234</v>
      </c>
      <c r="M74" s="14">
        <v>41985</v>
      </c>
      <c r="N74" s="14" t="str">
        <f t="shared" si="1"/>
        <v>2014</v>
      </c>
      <c r="O74" s="55" t="s">
        <v>102</v>
      </c>
      <c r="P74" s="56"/>
      <c r="Q74" s="56"/>
      <c r="R74" s="56"/>
      <c r="S74" s="56"/>
      <c r="T74" s="57"/>
      <c r="U74" s="5">
        <f>COUNTIFS(   D4:D451,"Óptica")</f>
        <v>2</v>
      </c>
      <c r="V74" s="5">
        <f>COUNTIFS(   D4:D451,"Óptica",F4:F451,"Hombre")</f>
        <v>2</v>
      </c>
      <c r="W74" s="5">
        <f>COUNTIFS(   D4:D451,"Óptica",F4:F451,"Mujer")</f>
        <v>0</v>
      </c>
      <c r="X74" s="29">
        <f>COUNTIFS(   A4:A451,"2013", D4:D451,"Óptica")</f>
        <v>0</v>
      </c>
      <c r="Y74" s="5">
        <f>COUNTIFS(   A4:A451,"2014", D4:D451,"Óptica")</f>
        <v>0</v>
      </c>
      <c r="Z74" s="5">
        <f>COUNTIFS(   A4:A451,"2015", D4:D451,"Óptica")</f>
        <v>1</v>
      </c>
      <c r="AA74" s="5">
        <f>COUNTIFS(   A4:A451,"2016", D4:D451,"Óptica")</f>
        <v>1</v>
      </c>
      <c r="AB74" s="5">
        <f>COUNTIFS(   A4:A451,"2017", D4:D451,"Óptica")</f>
        <v>0</v>
      </c>
      <c r="AC74" s="29">
        <f>COUNTIFS(   N4:N451,"2014", D4:D451,"Óptica")</f>
        <v>0</v>
      </c>
      <c r="AD74" s="5">
        <f>COUNTIFS(   N4:N451,"2015", D4:D451,"Óptica")</f>
        <v>0</v>
      </c>
      <c r="AE74" s="5">
        <f>COUNTIFS(   N4:N451,"2016", D4:D451,"Óptica")</f>
        <v>1</v>
      </c>
      <c r="AF74" s="5">
        <f>COUNTIFS(   N4:N451,"2017", D4:D451,"Óptica")</f>
        <v>1</v>
      </c>
      <c r="AG74" s="5">
        <f>COUNTIFS(   N4:N451,"2018", D4:D451,"Óptica")</f>
        <v>0</v>
      </c>
      <c r="AH74" s="5">
        <f>COUNTIFS(   D4:D451,"Óptica",G4:G451,"Sí")</f>
        <v>0</v>
      </c>
      <c r="AI74" s="5">
        <f>COUNTIFS(   D4:D451,"Óptica",G4:G451,"No")</f>
        <v>2</v>
      </c>
      <c r="AJ74" s="5">
        <f>SUMIFS( E4:E451, D4:D451,"Óptica",G4:G451,"Sí")</f>
        <v>0</v>
      </c>
      <c r="AK74" s="5">
        <f>SUMIFS( E4:E451, D4:D451,"Óptica",G4:G451,"No")</f>
        <v>22</v>
      </c>
      <c r="AL74" s="5">
        <f>COUNTIFS(   D4:D451,"Óptica",H4:H451,"Sí")</f>
        <v>1</v>
      </c>
      <c r="AM74" s="5">
        <f>COUNTIFS(   D4:D451,"Óptica",I4:I451,"Sí")</f>
        <v>1</v>
      </c>
      <c r="AN74" s="5">
        <f>COUNTIFS(   D4:D451,"Óptica",I4:I451,"No")</f>
        <v>1</v>
      </c>
      <c r="AO74" s="5">
        <f>SUMIFS( E4:E451, D4:D451,"Óptica",I4:I451,"Sí")</f>
        <v>17</v>
      </c>
      <c r="AP74" s="5">
        <f>SUMIFS( E4:E451, D4:D451,"Óptica",I4:I451,"No")</f>
        <v>5</v>
      </c>
      <c r="AQ74" s="5">
        <f>COUNTIFS(   D4:D451,"Óptica",J4:J451,"Sí")</f>
        <v>2</v>
      </c>
      <c r="AR74" s="5">
        <f>COUNTIFS(   D4:D451,"Óptica",K4:K451,"Sí")</f>
        <v>1</v>
      </c>
      <c r="AS74" s="5">
        <f>COUNTIFS(   D4:D451,"Óptica",L4:L451,"Sí")</f>
        <v>2</v>
      </c>
      <c r="AT74" s="5">
        <f>SUMIFS( E4:E451, D4:D451,"Óptica")</f>
        <v>22</v>
      </c>
      <c r="AU74" s="5">
        <f>SUMIFS( E4:E451, F4:F451,"Hombre", D4:D451,"Óptica")</f>
        <v>22</v>
      </c>
      <c r="AV74" s="5">
        <f>SUMIFS( E4:E451, F4:F451,"Mujer", D4:D451,"Óptica")</f>
        <v>0</v>
      </c>
      <c r="AW74" s="29">
        <f>SUMIFS( E4:E451, A4:A451,"2013", D4:D451,"Óptica")</f>
        <v>0</v>
      </c>
      <c r="AX74" s="5">
        <f>SUMIFS( E4:E451, A4:A451,"2014", D4:D451,"Óptica")</f>
        <v>0</v>
      </c>
      <c r="AY74" s="5">
        <f>SUMIFS( E4:E451, A4:A451,"2015", D4:D451,"Óptica")</f>
        <v>5</v>
      </c>
      <c r="AZ74" s="5">
        <f>SUMIFS( E4:E451, A4:A451,"2016", D4:D451,"Óptica")</f>
        <v>17</v>
      </c>
      <c r="BA74" s="5">
        <f>SUMIFS( E4:E451, A4:A451,"2017", D4:D451,"Óptica")</f>
        <v>0</v>
      </c>
      <c r="BB74" s="29">
        <f>SUMIFS( E4:E451, N4:N451,"2014", D4:D451,"Óptica")</f>
        <v>0</v>
      </c>
      <c r="BC74" s="5">
        <f>SUMIFS( E4:E451, N4:N451,"2015", D4:D451,"Óptica")</f>
        <v>0</v>
      </c>
      <c r="BD74" s="5">
        <f>SUMIFS( E4:E451, N4:N451,"2016", D4:D451,"Óptica")</f>
        <v>5</v>
      </c>
      <c r="BE74" s="5">
        <f>SUMIFS( E4:E451, N4:N451,"2017", D4:D451,"Óptica")</f>
        <v>17</v>
      </c>
      <c r="BF74" s="5">
        <f>SUMIFS( E4:E451, N4:N451,"2018", D4:D451,"Óptica")</f>
        <v>0</v>
      </c>
      <c r="BG74" s="23">
        <f>AVERAGEIFS( E4:E451, D4:D451,"Óptica")</f>
        <v>11</v>
      </c>
      <c r="BH74" s="23">
        <v>0</v>
      </c>
      <c r="BI74" s="23">
        <v>0</v>
      </c>
      <c r="BJ74" s="23">
        <f>AVERAGEIFS( E4:E451, A4:A451,"2015", D4:D451,"Óptica")</f>
        <v>5</v>
      </c>
      <c r="BK74" s="23">
        <f>AVERAGEIFS( E4:E451, A4:A451,"2016", D4:D451,"Óptica")</f>
        <v>17</v>
      </c>
      <c r="BL74" s="23">
        <v>0</v>
      </c>
      <c r="BM74" s="23">
        <v>11</v>
      </c>
      <c r="BN74" s="23">
        <v>0</v>
      </c>
      <c r="BO74" s="23">
        <v>0</v>
      </c>
      <c r="BP74" s="23">
        <v>5</v>
      </c>
      <c r="BQ74" s="23">
        <v>17</v>
      </c>
      <c r="BR74" s="23">
        <v>0</v>
      </c>
    </row>
    <row r="75" spans="1:70" ht="15" customHeight="1" x14ac:dyDescent="0.25">
      <c r="A75">
        <v>2014</v>
      </c>
      <c r="B75" t="s">
        <v>4</v>
      </c>
      <c r="C75" t="s">
        <v>18</v>
      </c>
      <c r="D75" t="s">
        <v>22</v>
      </c>
      <c r="E75">
        <v>5</v>
      </c>
      <c r="F75" t="s">
        <v>211</v>
      </c>
      <c r="G75" t="s">
        <v>233</v>
      </c>
      <c r="H75" t="s">
        <v>233</v>
      </c>
      <c r="I75" t="s">
        <v>233</v>
      </c>
      <c r="J75" t="s">
        <v>234</v>
      </c>
      <c r="K75" t="s">
        <v>233</v>
      </c>
      <c r="L75" t="s">
        <v>234</v>
      </c>
      <c r="M75" s="14">
        <v>41908</v>
      </c>
      <c r="N75" s="14" t="str">
        <f t="shared" si="1"/>
        <v>2014</v>
      </c>
      <c r="O75" s="6" t="s">
        <v>64</v>
      </c>
      <c r="P75" s="7"/>
      <c r="Q75" s="7"/>
      <c r="R75" s="7"/>
      <c r="S75" s="7"/>
      <c r="T75" s="8"/>
      <c r="U75" s="4">
        <f>COUNTIFS(   C4:C451,"Física y Matemáticas")</f>
        <v>19</v>
      </c>
      <c r="V75" s="4">
        <f>COUNTIFS(   C4:C451,"Física y Matemáticas",F4:F451,"Hombre")</f>
        <v>13</v>
      </c>
      <c r="W75" s="4">
        <f>COUNTIFS(   C4:C451,"Física y Matemáticas",F4:F451,"Mujer")</f>
        <v>6</v>
      </c>
      <c r="X75" s="28">
        <f>COUNTIFS(   A4:A451,"2013", C4:C451,"Física y Matemáticas")</f>
        <v>0</v>
      </c>
      <c r="Y75" s="4">
        <f>COUNTIFS(   A4:A451,"2014", C4:C451,"Física y Matemáticas")</f>
        <v>0</v>
      </c>
      <c r="Z75" s="4">
        <f>COUNTIFS(   A4:A451,"2015", C4:C451,"Física y Matemáticas")</f>
        <v>4</v>
      </c>
      <c r="AA75" s="4">
        <f>COUNTIFS(   A4:A451,"2016", C4:C451,"Física y Matemáticas")</f>
        <v>5</v>
      </c>
      <c r="AB75" s="4">
        <f>COUNTIFS(   A4:A451,"2017", C4:C451,"Física y Matemáticas")</f>
        <v>10</v>
      </c>
      <c r="AC75" s="28">
        <f>COUNTIFS(   N4:N451,"2014", C4:C451,"Física y Matemáticas")</f>
        <v>0</v>
      </c>
      <c r="AD75" s="4">
        <f>COUNTIFS(   N4:N451,"2015", C4:C451,"Física y Matemáticas")</f>
        <v>0</v>
      </c>
      <c r="AE75" s="4">
        <f>COUNTIFS(   N4:N451,"2016", C4:C451,"Física y Matemáticas")</f>
        <v>6</v>
      </c>
      <c r="AF75" s="4">
        <f>COUNTIFS(   N4:N451,"2017", C4:C451,"Física y Matemáticas")</f>
        <v>4</v>
      </c>
      <c r="AG75" s="4">
        <f>COUNTIFS(   N4:N451,"2018", C4:C451,"Física y Matemáticas")</f>
        <v>9</v>
      </c>
      <c r="AH75" s="4">
        <f>COUNTIFS(   C4:C451,"Física y Matemáticas",G4:G451,"Sí")</f>
        <v>1</v>
      </c>
      <c r="AI75" s="4">
        <f>COUNTIFS(   C4:C451,"Física y Matemáticas",G4:G451,"No")</f>
        <v>18</v>
      </c>
      <c r="AJ75" s="4">
        <f>SUMIFS( E4:E451, C4:C451,"Física y Matemáticas",G4:G451,"Sí")</f>
        <v>16</v>
      </c>
      <c r="AK75" s="4">
        <f>SUMIFS( E4:E451, C4:C451,"Física y Matemáticas",G4:G451,"No")</f>
        <v>220</v>
      </c>
      <c r="AL75" s="4">
        <f>COUNTIFS(   C4:C451,"Física y Matemáticas",H4:H451,"Sí")</f>
        <v>3</v>
      </c>
      <c r="AM75" s="4">
        <f>COUNTIFS(   C4:C451,"Física y Matemáticas",I4:I451,"Sí")</f>
        <v>15</v>
      </c>
      <c r="AN75" s="4">
        <f>COUNTIFS(   C4:C451,"Física y Matemáticas",I4:I451,"No")</f>
        <v>4</v>
      </c>
      <c r="AO75" s="4">
        <f>SUMIFS( E4:E451, C4:C451,"Física y Matemáticas",I4:I451,"Sí")</f>
        <v>198</v>
      </c>
      <c r="AP75" s="4">
        <f>SUMIFS( E4:E451, C4:C451,"Física y Matemáticas",I4:I451,"No")</f>
        <v>38</v>
      </c>
      <c r="AQ75" s="4">
        <f>COUNTIFS(   C4:C451,"Física y Matemáticas",J4:J451,"Sí")</f>
        <v>16</v>
      </c>
      <c r="AR75" s="4">
        <f>COUNTIFS(   C4:C451,"Física y Matemáticas",K4:K451,"Sí")</f>
        <v>9</v>
      </c>
      <c r="AS75" s="4">
        <f>COUNTIFS(   C4:C451,"Física y Matemáticas",L4:L451,"Sí")</f>
        <v>16</v>
      </c>
      <c r="AT75" s="4">
        <f>SUMIFS( E4:E451, C4:C451,"Física y Matemáticas")</f>
        <v>236</v>
      </c>
      <c r="AU75" s="4">
        <f>SUMIFS( E4:E451, F4:F451,"Hombre", C4:C451,"Física y Matemáticas")</f>
        <v>153</v>
      </c>
      <c r="AV75" s="4">
        <f>SUMIFS( E4:E451, F4:F451,"Mujer", C4:C451,"Física y Matemáticas")</f>
        <v>83</v>
      </c>
      <c r="AW75" s="28">
        <f>SUMIFS( E4:E451, A4:A451,"2013", C4:C451,"Física y Matemáticas")</f>
        <v>0</v>
      </c>
      <c r="AX75" s="4">
        <f>SUMIFS( E4:E451, A4:A451,"2014", C4:C451,"Física y Matemáticas")</f>
        <v>0</v>
      </c>
      <c r="AY75" s="4">
        <f>SUMIFS( E4:E451, A4:A451,"2015", C4:C451,"Física y Matemáticas")</f>
        <v>104</v>
      </c>
      <c r="AZ75" s="4">
        <f>SUMIFS( E4:E451, A4:A451,"2016", C4:C451,"Física y Matemáticas")</f>
        <v>39</v>
      </c>
      <c r="BA75" s="4">
        <f>SUMIFS( E4:E451, A4:A451,"2017", C4:C451,"Física y Matemáticas")</f>
        <v>93</v>
      </c>
      <c r="BB75" s="28">
        <f>SUMIFS( E4:E451, N4:N451,"2014", C4:C451,"Física y Matemáticas")</f>
        <v>0</v>
      </c>
      <c r="BC75" s="4">
        <f>SUMIFS( E4:E451, N4:N451,"2015", C4:C451,"Física y Matemáticas")</f>
        <v>0</v>
      </c>
      <c r="BD75" s="4">
        <f>SUMIFS( E4:E451, N4:N451,"2016", C4:C451,"Física y Matemáticas")</f>
        <v>127</v>
      </c>
      <c r="BE75" s="4">
        <f>SUMIFS( E4:E451, N4:N451,"2017", C4:C451,"Física y Matemáticas")</f>
        <v>36</v>
      </c>
      <c r="BF75" s="4">
        <f>SUMIFS( E4:E451, N4:N451,"2018", C4:C451,"Física y Matemáticas")</f>
        <v>73</v>
      </c>
      <c r="BG75" s="22">
        <f>AVERAGEIFS( E4:E451, C4:C451,"Física y Matemáticas")</f>
        <v>12.421052631578947</v>
      </c>
      <c r="BH75" s="22">
        <v>0</v>
      </c>
      <c r="BI75" s="22">
        <v>0</v>
      </c>
      <c r="BJ75" s="22">
        <f>AVERAGEIFS( E4:E451, A4:A451,"2015", C4:C451,"Física y Matemáticas")</f>
        <v>26</v>
      </c>
      <c r="BK75" s="22">
        <f>AVERAGEIFS( E4:E451, A4:A451,"2016", C4:C451,"Física y Matemáticas")</f>
        <v>7.8</v>
      </c>
      <c r="BL75" s="22">
        <f>AVERAGEIFS( E4:E451, A4:A451,"2017", C4:C451,"Física y Matemáticas")</f>
        <v>9.3000000000000007</v>
      </c>
      <c r="BM75" s="22">
        <f>AVERAGE(AT76:AT84)</f>
        <v>26.222222222222221</v>
      </c>
      <c r="BN75" s="22">
        <v>0</v>
      </c>
      <c r="BO75" s="22">
        <v>0</v>
      </c>
      <c r="BP75" s="22">
        <f>AVERAGE(AY76:AY84)</f>
        <v>11.555555555555555</v>
      </c>
      <c r="BQ75" s="22">
        <f>AVERAGE(AZ76:AZ84)</f>
        <v>4.333333333333333</v>
      </c>
      <c r="BR75" s="22">
        <f>AVERAGE(BA76:BA84)</f>
        <v>10.333333333333334</v>
      </c>
    </row>
    <row r="76" spans="1:70" ht="15" customHeight="1" x14ac:dyDescent="0.25">
      <c r="A76">
        <v>2017</v>
      </c>
      <c r="B76" t="s">
        <v>4</v>
      </c>
      <c r="C76" t="s">
        <v>23</v>
      </c>
      <c r="D76" t="s">
        <v>24</v>
      </c>
      <c r="E76">
        <v>4</v>
      </c>
      <c r="F76" t="s">
        <v>211</v>
      </c>
      <c r="G76" t="s">
        <v>233</v>
      </c>
      <c r="H76" t="s">
        <v>233</v>
      </c>
      <c r="I76" t="s">
        <v>233</v>
      </c>
      <c r="J76" t="s">
        <v>233</v>
      </c>
      <c r="K76" t="s">
        <v>233</v>
      </c>
      <c r="L76" t="s">
        <v>233</v>
      </c>
      <c r="M76" s="14">
        <v>43258</v>
      </c>
      <c r="N76" s="14" t="str">
        <f t="shared" si="1"/>
        <v>2018</v>
      </c>
      <c r="O76" s="55" t="s">
        <v>111</v>
      </c>
      <c r="P76" s="56"/>
      <c r="Q76" s="56"/>
      <c r="R76" s="56"/>
      <c r="S76" s="56"/>
      <c r="T76" s="57"/>
      <c r="U76" s="5">
        <f>COUNTIFS(   D4:D451,"Astrofísica estelar. Evolución estelar. Supernovas")</f>
        <v>1</v>
      </c>
      <c r="V76" s="5">
        <f>COUNTIFS(   D4:D451,"Astrofísica estelar. Evolución estelar. Supernovas",F4:F451,"Hombre")</f>
        <v>1</v>
      </c>
      <c r="W76" s="5">
        <f>COUNTIFS(   D4:D451,"Astrofísica estelar. Evolución estelar. Supernovas",F4:F451,"Mujer")</f>
        <v>0</v>
      </c>
      <c r="X76" s="29">
        <f>COUNTIFS(   A4:A451,"2013", D4:D451,"Astrofísica estelar. Evolución estelar. Supernovas")</f>
        <v>0</v>
      </c>
      <c r="Y76" s="5">
        <f>COUNTIFS(   A4:A451,"2014", D4:D451,"Astrofísica estelar. Evolución estelar. Supernovas")</f>
        <v>0</v>
      </c>
      <c r="Z76" s="5">
        <f>COUNTIFS(   A4:A451,"2015", D4:D451,"Astrofísica estelar. Evolución estelar. Supernovas")</f>
        <v>0</v>
      </c>
      <c r="AA76" s="5">
        <f>COUNTIFS(   A4:A451,"2016", D4:D451,"Astrofísica estelar. Evolución estelar. Supernovas")</f>
        <v>1</v>
      </c>
      <c r="AB76" s="5">
        <f>COUNTIFS(   A4:A451,"2017", D4:D451,"Astrofísica estelar. Evolución estelar. Supernovas")</f>
        <v>0</v>
      </c>
      <c r="AC76" s="29">
        <f>COUNTIFS(   N4:N451,"2014", D4:D451,"Astrofísica estelar. Evolución estelar. Supernovas")</f>
        <v>0</v>
      </c>
      <c r="AD76" s="5">
        <f>COUNTIFS(   N4:N451,"2015", D4:D451,"Astrofísica estelar. Evolución estelar. Supernovas")</f>
        <v>0</v>
      </c>
      <c r="AE76" s="5">
        <f>COUNTIFS(   N4:N451,"2016", D4:D451,"Astrofísica estelar. Evolución estelar. Supernovas")</f>
        <v>1</v>
      </c>
      <c r="AF76" s="5">
        <f>COUNTIFS(   N4:N451,"2017", D4:D451,"Astrofísica estelar. Evolución estelar. Supernovas")</f>
        <v>0</v>
      </c>
      <c r="AG76" s="5">
        <f>COUNTIFS(   N4:N451,"2018", D4:D451,"Astrofísica estelar. Evolución estelar. Supernovas")</f>
        <v>0</v>
      </c>
      <c r="AH76" s="5">
        <f>COUNTIFS(   D4:D451,"Astrofísica estelar. Evolución estelar. Supernovas",G4:G451,"Sí")</f>
        <v>0</v>
      </c>
      <c r="AI76" s="5">
        <f>COUNTIFS(   D4:D451,"Astrofísica estelar. Evolución estelar. Supernovas",G4:G451,"No")</f>
        <v>1</v>
      </c>
      <c r="AJ76" s="5">
        <f>SUMIFS( E4:E451, D4:D451,"Astrofísica estelar. Evolución estelar. Supernovas",G4:G451,"Sí")</f>
        <v>0</v>
      </c>
      <c r="AK76" s="5">
        <f>SUMIFS( E4:E451, D4:D451,"Astrofísica estelar. Evolución estelar. Supernovas",G4:G451,"No")</f>
        <v>11</v>
      </c>
      <c r="AL76" s="5">
        <f>COUNTIFS(   D4:D451,"Astrofísica estelar. Evolución estelar. Supernovas",H4:H451,"Sí")</f>
        <v>0</v>
      </c>
      <c r="AM76" s="5">
        <f>COUNTIFS(   D4:D451,"Astrofísica estelar. Evolución estelar. Supernovas",I4:I451,"Sí")</f>
        <v>1</v>
      </c>
      <c r="AN76" s="5">
        <f>COUNTIFS(   D4:D451,"Astrofísica estelar. Evolución estelar. Supernovas",I4:I451,"No")</f>
        <v>0</v>
      </c>
      <c r="AO76" s="5">
        <f>SUMIFS( E4:E451, D4:D451,"Astrofísica estelar. Evolución estelar. Supernovas",I4:I451,"Sí")</f>
        <v>11</v>
      </c>
      <c r="AP76" s="5">
        <f>SUMIFS( E4:E451, D4:D451,"Astrofísica estelar. Evolución estelar. Supernovas",I4:I451,"No")</f>
        <v>0</v>
      </c>
      <c r="AQ76" s="5">
        <f>COUNTIFS(   D4:D451,"Astrofísica estelar. Evolución estelar. Supernovas",J4:J451,"Sí")</f>
        <v>1</v>
      </c>
      <c r="AR76" s="5">
        <f>COUNTIFS(   D4:D451,"Astrofísica estelar. Evolución estelar. Supernovas",K4:K451,"Sí")</f>
        <v>0</v>
      </c>
      <c r="AS76" s="5">
        <f>COUNTIFS(   D4:D451,"Astrofísica estelar. Evolución estelar. Supernovas",L4:L451,"Sí")</f>
        <v>1</v>
      </c>
      <c r="AT76" s="5">
        <f>SUMIFS( E4:E451, D4:D451,"Astrofísica estelar. Evolución estelar. Supernovas")</f>
        <v>11</v>
      </c>
      <c r="AU76" s="5">
        <f>SUMIFS( E4:E451, F4:F451,"Hombre", D4:D451,"Astrofísica estelar. Evolución estelar. Supernovas")</f>
        <v>11</v>
      </c>
      <c r="AV76" s="5">
        <f>SUMIFS( E4:E451, F4:F451,"Mujer", D4:D451,"Astrofísica estelar. Evolución estelar. Supernovas")</f>
        <v>0</v>
      </c>
      <c r="AW76" s="29">
        <f>SUMIFS( E4:E451, A4:A451,"2013", D4:D451,"Astrofísica estelar. Evolución estelar. Supernovas")</f>
        <v>0</v>
      </c>
      <c r="AX76" s="5">
        <f>SUMIFS( E4:E451, A4:A451,"2014", D4:D451,"Astrofísica estelar. Evolución estelar. Supernovas")</f>
        <v>0</v>
      </c>
      <c r="AY76" s="5">
        <f>SUMIFS( E4:E451, A4:A451,"2015", D4:D451,"Astrofísica estelar. Evolución estelar. Supernovas")</f>
        <v>0</v>
      </c>
      <c r="AZ76" s="5">
        <f>SUMIFS( E4:E451, A4:A451,"2016", D4:D451,"Astrofísica estelar. Evolución estelar. Supernovas")</f>
        <v>11</v>
      </c>
      <c r="BA76" s="5">
        <f>SUMIFS( E4:E451, A4:A451,"2017", D4:D451,"Astrofísica estelar. Evolución estelar. Supernovas")</f>
        <v>0</v>
      </c>
      <c r="BB76" s="29">
        <f>SUMIFS( E4:E451, N4:N451,"2014", D4:D451,"Astrofísica estelar. Evolución estelar. Supernovas")</f>
        <v>0</v>
      </c>
      <c r="BC76" s="5">
        <f>SUMIFS( E4:E451, N4:N451,"2015", D4:D451,"Astrofísica estelar. Evolución estelar. Supernovas")</f>
        <v>0</v>
      </c>
      <c r="BD76" s="5">
        <f>SUMIFS( E4:E451, N4:N451,"2016", D4:D451,"Astrofísica estelar. Evolución estelar. Supernovas")</f>
        <v>11</v>
      </c>
      <c r="BE76" s="5">
        <f>SUMIFS( E4:E451, N4:N451,"2017", D4:D451,"Astrofísica estelar. Evolución estelar. Supernovas")</f>
        <v>0</v>
      </c>
      <c r="BF76" s="5">
        <f>SUMIFS( E4:E451, N4:N451,"2018", D4:D451,"Astrofísica estelar. Evolución estelar. Supernovas")</f>
        <v>0</v>
      </c>
      <c r="BG76" s="23">
        <f>AVERAGEIFS( E4:E451, D4:D451,"Astrofísica estelar. Evolución estelar. Supernovas")</f>
        <v>11</v>
      </c>
      <c r="BH76" s="23">
        <v>0</v>
      </c>
      <c r="BI76" s="23">
        <v>0</v>
      </c>
      <c r="BJ76" s="23">
        <v>0</v>
      </c>
      <c r="BK76" s="23">
        <f>AVERAGEIFS( E4:E451, A4:A451,"2016", D4:D451,"Astrofísica estelar. Evolución estelar. Supernovas")</f>
        <v>11</v>
      </c>
      <c r="BL76" s="23">
        <v>0</v>
      </c>
      <c r="BM76" s="23">
        <v>11</v>
      </c>
      <c r="BN76" s="23">
        <v>0</v>
      </c>
      <c r="BO76" s="23">
        <v>0</v>
      </c>
      <c r="BP76" s="23">
        <v>0</v>
      </c>
      <c r="BQ76" s="23">
        <v>11</v>
      </c>
      <c r="BR76" s="23">
        <v>0</v>
      </c>
    </row>
    <row r="77" spans="1:70" ht="15" customHeight="1" x14ac:dyDescent="0.25">
      <c r="A77">
        <v>2017</v>
      </c>
      <c r="B77" t="s">
        <v>4</v>
      </c>
      <c r="C77" t="s">
        <v>23</v>
      </c>
      <c r="D77" t="s">
        <v>25</v>
      </c>
      <c r="E77" s="17">
        <v>7</v>
      </c>
      <c r="F77" t="s">
        <v>215</v>
      </c>
      <c r="G77" t="s">
        <v>233</v>
      </c>
      <c r="H77" t="s">
        <v>233</v>
      </c>
      <c r="I77" t="s">
        <v>233</v>
      </c>
      <c r="J77" t="s">
        <v>233</v>
      </c>
      <c r="K77" t="s">
        <v>233</v>
      </c>
      <c r="L77" t="s">
        <v>233</v>
      </c>
      <c r="M77" s="14">
        <v>43244</v>
      </c>
      <c r="N77" s="14" t="str">
        <f t="shared" si="1"/>
        <v>2018</v>
      </c>
      <c r="O77" s="55" t="s">
        <v>109</v>
      </c>
      <c r="P77" s="56"/>
      <c r="Q77" s="56"/>
      <c r="R77" s="56"/>
      <c r="S77" s="56"/>
      <c r="T77" s="57"/>
      <c r="U77" s="5">
        <f>COUNTIFS(   D4:D451,"Astrofísica galáctica. Radioastronomía. Medio interestelar. Estructura galáctica. Formación estelar")</f>
        <v>3</v>
      </c>
      <c r="V77" s="5">
        <f>COUNTIFS(   D4:D451,"Astrofísica galáctica. Radioastronomía. Medio interestelar. Estructura galáctica. Formación estelar",F4:F451,"Hombre")</f>
        <v>1</v>
      </c>
      <c r="W77" s="5">
        <f>COUNTIFS(   D4:D451,"Astrofísica galáctica. Radioastronomía. Medio interestelar. Estructura galáctica. Formación estelar",F4:F451,"Mujer")</f>
        <v>2</v>
      </c>
      <c r="X77" s="29">
        <f>COUNTIFS(   A4:A451,"2013", D4:D451,"Astrofísica galáctica. Radioastronomía. Medio interestelar. Estructura galáctica. Formación estelar")</f>
        <v>0</v>
      </c>
      <c r="Y77" s="5">
        <f>COUNTIFS(   A4:A451,"2014", D4:D451,"Astrofísica galáctica. Radioastronomía. Medio interestelar. Estructura galáctica. Formación estelar")</f>
        <v>0</v>
      </c>
      <c r="Z77" s="5">
        <f>COUNTIFS(   A4:A451,"2015", D4:D451,"Astrofísica galáctica. Radioastronomía. Medio interestelar. Estructura galáctica. Formación estelar")</f>
        <v>2</v>
      </c>
      <c r="AA77" s="5">
        <f>COUNTIFS(   A4:A451,"2016", D4:D451,"Astrofísica galáctica. Radioastronomía. Medio interestelar. Estructura galáctica. Formación estelar")</f>
        <v>0</v>
      </c>
      <c r="AB77" s="5">
        <f>COUNTIFS(   A4:A451,"2017", D4:D451,"Astrofísica galáctica. Radioastronomía. Medio interestelar. Estructura galáctica. Formación estelar")</f>
        <v>1</v>
      </c>
      <c r="AC77" s="29">
        <f>COUNTIFS(   N4:N451,"2014", D4:D451,"Astrofísica galáctica. Radioastronomía. Medio interestelar. Estructura galáctica. Formación estelar")</f>
        <v>0</v>
      </c>
      <c r="AD77" s="5">
        <f>COUNTIFS(   N4:N451,"2015", D4:D451,"Astrofísica galáctica. Radioastronomía. Medio interestelar. Estructura galáctica. Formación estelar")</f>
        <v>0</v>
      </c>
      <c r="AE77" s="5">
        <f>COUNTIFS(   N4:N451,"2016", D4:D451,"Astrofísica galáctica. Radioastronomía. Medio interestelar. Estructura galáctica. Formación estelar")</f>
        <v>2</v>
      </c>
      <c r="AF77" s="5">
        <f>COUNTIFS(   N4:N451,"2017", D4:D451,"Astrofísica galáctica. Radioastronomía. Medio interestelar. Estructura galáctica. Formación estelar")</f>
        <v>1</v>
      </c>
      <c r="AG77" s="5">
        <f>COUNTIFS(   N4:N451,"2018", D4:D451,"Astrofísica galáctica. Radioastronomía. Medio interestelar. Estructura galáctica. Formación estelar")</f>
        <v>0</v>
      </c>
      <c r="AH77" s="5">
        <f>COUNTIFS(   D4:D451,"Astrofísica galáctica. Radioastronomía. Medio interestelar. Estructura galáctica. Formación estelar",G4:G451,"Sí")</f>
        <v>0</v>
      </c>
      <c r="AI77" s="5">
        <f>COUNTIFS(   D4:D451,"Astrofísica galáctica. Radioastronomía. Medio interestelar. Estructura galáctica. Formación estelar",G4:G451,"No")</f>
        <v>3</v>
      </c>
      <c r="AJ77" s="5">
        <f>SUMIFS( E4:E451, D4:D451,"Astrofísica galáctica. Radioastronomía. Medio interestelar. Estructura galáctica. Formación estelar",G4:G451,"Sí")</f>
        <v>0</v>
      </c>
      <c r="AK77" s="5">
        <f>SUMIFS( E4:E451, D4:D451,"Astrofísica galáctica. Radioastronomía. Medio interestelar. Estructura galáctica. Formación estelar",G4:G451,"No")</f>
        <v>93</v>
      </c>
      <c r="AL77" s="5">
        <f>COUNTIFS(   D4:D451,"Astrofísica galáctica. Radioastronomía. Medio interestelar. Estructura galáctica. Formación estelar",H4:H451,"Sí")</f>
        <v>0</v>
      </c>
      <c r="AM77" s="5">
        <f>COUNTIFS(   D4:D451,"Astrofísica galáctica. Radioastronomía. Medio interestelar. Estructura galáctica. Formación estelar",I4:I451,"Sí")</f>
        <v>2</v>
      </c>
      <c r="AN77" s="5">
        <f>COUNTIFS(   D4:D451,"Astrofísica galáctica. Radioastronomía. Medio interestelar. Estructura galáctica. Formación estelar",I4:I451,"No")</f>
        <v>1</v>
      </c>
      <c r="AO77" s="5">
        <f>SUMIFS( E4:E451, D4:D451,"Astrofísica galáctica. Radioastronomía. Medio interestelar. Estructura galáctica. Formación estelar",I4:I451,"Sí")</f>
        <v>82</v>
      </c>
      <c r="AP77" s="5">
        <f>SUMIFS( E4:E451, D4:D451,"Astrofísica galáctica. Radioastronomía. Medio interestelar. Estructura galáctica. Formación estelar",I4:I451,"No")</f>
        <v>11</v>
      </c>
      <c r="AQ77" s="5">
        <f>COUNTIFS(   D4:D451,"Astrofísica galáctica. Radioastronomía. Medio interestelar. Estructura galáctica. Formación estelar",J4:J451,"Sí")</f>
        <v>3</v>
      </c>
      <c r="AR77" s="5">
        <f>COUNTIFS(   D4:D451,"Astrofísica galáctica. Radioastronomía. Medio interestelar. Estructura galáctica. Formación estelar",K4:K451,"Sí")</f>
        <v>1</v>
      </c>
      <c r="AS77" s="5">
        <f>COUNTIFS(   D4:D451,"Astrofísica galáctica. Radioastronomía. Medio interestelar. Estructura galáctica. Formación estelar",L4:L451,"Sí")</f>
        <v>3</v>
      </c>
      <c r="AT77" s="5">
        <f>SUMIFS( E4:E451, D4:D451,"Astrofísica galáctica. Radioastronomía. Medio interestelar. Estructura galáctica. Formación estelar")</f>
        <v>93</v>
      </c>
      <c r="AU77" s="5">
        <f>SUMIFS( E4:E451, F4:F451,"Hombre", D4:D451,"Astrofísica galáctica. Radioastronomía. Medio interestelar. Estructura galáctica. Formación estelar")</f>
        <v>62</v>
      </c>
      <c r="AV77" s="5">
        <f>SUMIFS( E4:E451, F4:F451,"Mujer", D4:D451,"Astrofísica galáctica. Radioastronomía. Medio interestelar. Estructura galáctica. Formación estelar")</f>
        <v>31</v>
      </c>
      <c r="AW77" s="29">
        <f>SUMIFS( E4:E451, A4:A451,"2013", D4:D451,"Astrofísica galáctica. Radioastronomía. Medio interestelar. Estructura galáctica. Formación estelar")</f>
        <v>0</v>
      </c>
      <c r="AX77" s="5">
        <f>SUMIFS( E4:E451, A4:A451,"2014", D4:D451,"Astrofísica galáctica. Radioastronomía. Medio interestelar. Estructura galáctica. Formación estelar")</f>
        <v>0</v>
      </c>
      <c r="AY77" s="5">
        <f>SUMIFS( E4:E451, A4:A451,"2015", D4:D451,"Astrofísica galáctica. Radioastronomía. Medio interestelar. Estructura galáctica. Formación estelar")</f>
        <v>73</v>
      </c>
      <c r="AZ77" s="5">
        <f>SUMIFS( E4:E451, A4:A451,"2016", D4:D451,"Astrofísica galáctica. Radioastronomía. Medio interestelar. Estructura galáctica. Formación estelar")</f>
        <v>0</v>
      </c>
      <c r="BA77" s="5">
        <f>SUMIFS( E4:E451, A4:A451,"2017", D4:D451,"Astrofísica galáctica. Radioastronomía. Medio interestelar. Estructura galáctica. Formación estelar")</f>
        <v>20</v>
      </c>
      <c r="BB77" s="29">
        <f>SUMIFS( E4:E451, N4:N451,"2014", D4:D451,"Astrofísica galáctica. Radioastronomía. Medio interestelar. Estructura galáctica. Formación estelar")</f>
        <v>0</v>
      </c>
      <c r="BC77" s="5">
        <f>SUMIFS( E4:E451, N4:N451,"2015", D4:D451,"Astrofísica galáctica. Radioastronomía. Medio interestelar. Estructura galáctica. Formación estelar")</f>
        <v>0</v>
      </c>
      <c r="BD77" s="5">
        <f>SUMIFS( E4:E451, N4:N451,"2016", D4:D451,"Astrofísica galáctica. Radioastronomía. Medio interestelar. Estructura galáctica. Formación estelar")</f>
        <v>73</v>
      </c>
      <c r="BE77" s="5">
        <f>SUMIFS( E4:E451, N4:N451,"2017", D4:D451,"Astrofísica galáctica. Radioastronomía. Medio interestelar. Estructura galáctica. Formación estelar")</f>
        <v>20</v>
      </c>
      <c r="BF77" s="5">
        <f>SUMIFS( E4:E451, N4:N451,"2018", D4:D451,"Astrofísica galáctica. Radioastronomía. Medio interestelar. Estructura galáctica. Formación estelar")</f>
        <v>0</v>
      </c>
      <c r="BG77" s="23">
        <f>AVERAGEIFS( E4:E451, D4:D451,"Astrofísica galáctica. Radioastronomía. Medio interestelar. Estructura galáctica. Formación estelar")</f>
        <v>31</v>
      </c>
      <c r="BH77" s="23">
        <v>0</v>
      </c>
      <c r="BI77" s="23">
        <v>0</v>
      </c>
      <c r="BJ77" s="23">
        <f>AVERAGEIFS( E4:E451, A4:A451,"2015", D4:D451,"Astrofísica galáctica. Radioastronomía. Medio interestelar. Estructura galáctica. Formación estelar")</f>
        <v>36.5</v>
      </c>
      <c r="BK77" s="23">
        <v>0</v>
      </c>
      <c r="BL77" s="23">
        <f>AVERAGEIFS( E4:E451, A4:A451,"2017", D4:D451,"Astrofísica galáctica. Radioastronomía. Medio interestelar. Estructura galáctica. Formación estelar")</f>
        <v>20</v>
      </c>
      <c r="BM77" s="23">
        <v>31</v>
      </c>
      <c r="BN77" s="23">
        <v>0</v>
      </c>
      <c r="BO77" s="23">
        <v>0</v>
      </c>
      <c r="BP77" s="23">
        <v>36.5</v>
      </c>
      <c r="BQ77" s="23">
        <v>0</v>
      </c>
      <c r="BR77" s="23">
        <v>20</v>
      </c>
    </row>
    <row r="78" spans="1:70" ht="15" customHeight="1" x14ac:dyDescent="0.25">
      <c r="A78">
        <v>2017</v>
      </c>
      <c r="B78" t="s">
        <v>4</v>
      </c>
      <c r="C78" t="s">
        <v>23</v>
      </c>
      <c r="D78" t="s">
        <v>26</v>
      </c>
      <c r="E78" s="17">
        <v>10</v>
      </c>
      <c r="F78" t="s">
        <v>211</v>
      </c>
      <c r="G78" t="s">
        <v>233</v>
      </c>
      <c r="H78" t="s">
        <v>233</v>
      </c>
      <c r="I78" t="s">
        <v>234</v>
      </c>
      <c r="J78" t="s">
        <v>233</v>
      </c>
      <c r="K78" t="s">
        <v>233</v>
      </c>
      <c r="L78" t="s">
        <v>233</v>
      </c>
      <c r="M78" s="14">
        <v>43234</v>
      </c>
      <c r="N78" s="14" t="str">
        <f t="shared" si="1"/>
        <v>2018</v>
      </c>
      <c r="O78" s="55" t="s">
        <v>107</v>
      </c>
      <c r="P78" s="56"/>
      <c r="Q78" s="56"/>
      <c r="R78" s="56"/>
      <c r="S78" s="56"/>
      <c r="T78" s="57"/>
      <c r="U78" s="5">
        <f>COUNTIFS(   D4:D451,"Biomatemáticas. Biofísica. Dinámica celular y tumoral.Formación de patrones. Ecología")</f>
        <v>2</v>
      </c>
      <c r="V78" s="5">
        <f>COUNTIFS(   D4:D451,"Biomatemáticas. Biofísica. Dinámica celular y tumoral.Formación de patrones. Ecología",F4:F451,"Hombre")</f>
        <v>1</v>
      </c>
      <c r="W78" s="5">
        <f>COUNTIFS(   D4:D451,"Biomatemáticas. Biofísica. Dinámica celular y tumoral.Formación de patrones. Ecología",F4:F451,"Mujer")</f>
        <v>1</v>
      </c>
      <c r="X78" s="29">
        <f>COUNTIFS(   A4:A451,"2013", D4:D451,"Biomatemáticas. Biofísica. Dinámica celular y tumoral.Formación de patrones. Ecología")</f>
        <v>0</v>
      </c>
      <c r="Y78" s="5">
        <f>COUNTIFS(   A4:A451,"2014", D4:D451,"Biomatemáticas. Biofísica. Dinámica celular y tumoral.Formación de patrones. Ecología")</f>
        <v>0</v>
      </c>
      <c r="Z78" s="5">
        <f>COUNTIFS(   A4:A451,"2015", D4:D451,"Biomatemáticas. Biofísica. Dinámica celular y tumoral.Formación de patrones. Ecología")</f>
        <v>0</v>
      </c>
      <c r="AA78" s="5">
        <f>COUNTIFS(   A4:A451,"2016", D4:D451,"Biomatemáticas. Biofísica. Dinámica celular y tumoral.Formación de patrones. Ecología")</f>
        <v>1</v>
      </c>
      <c r="AB78" s="5">
        <f>COUNTIFS(   A4:A451,"2017", D4:D451,"Biomatemáticas. Biofísica. Dinámica celular y tumoral.Formación de patrones. Ecología")</f>
        <v>1</v>
      </c>
      <c r="AC78" s="29">
        <f>COUNTIFS(   N4:N451,"2014", D4:D451,"Biomatemáticas. Biofísica. Dinámica celular y tumoral.Formación de patrones. Ecología")</f>
        <v>0</v>
      </c>
      <c r="AD78" s="5">
        <f>COUNTIFS(   N4:N451,"2015", D4:D451,"Biomatemáticas. Biofísica. Dinámica celular y tumoral.Formación de patrones. Ecología")</f>
        <v>0</v>
      </c>
      <c r="AE78" s="5">
        <f>COUNTIFS(   N4:N451,"2016", D4:D451,"Biomatemáticas. Biofísica. Dinámica celular y tumoral.Formación de patrones. Ecología")</f>
        <v>0</v>
      </c>
      <c r="AF78" s="5">
        <f>COUNTIFS(   N4:N451,"2017", D4:D451,"Biomatemáticas. Biofísica. Dinámica celular y tumoral.Formación de patrones. Ecología")</f>
        <v>1</v>
      </c>
      <c r="AG78" s="5">
        <f>COUNTIFS(   N4:N451,"2018", D4:D451,"Biomatemáticas. Biofísica. Dinámica celular y tumoral.Formación de patrones. Ecología")</f>
        <v>1</v>
      </c>
      <c r="AH78" s="5">
        <f>COUNTIFS(   D4:D451,"Biomatemáticas. Biofísica. Dinámica celular y tumoral.Formación de patrones. Ecología",G4:G451,"Sí")</f>
        <v>0</v>
      </c>
      <c r="AI78" s="5">
        <f>COUNTIFS(   D4:D451,"Biomatemáticas. Biofísica. Dinámica celular y tumoral.Formación de patrones. Ecología",G4:G451,"No")</f>
        <v>2</v>
      </c>
      <c r="AJ78" s="5">
        <f>SUMIFS( E4:E451, D4:D451,"Biomatemáticas. Biofísica. Dinámica celular y tumoral.Formación de patrones. Ecología",G4:G451,"Sí")</f>
        <v>0</v>
      </c>
      <c r="AK78" s="5">
        <f>SUMIFS( E4:E451, D4:D451,"Biomatemáticas. Biofísica. Dinámica celular y tumoral.Formación de patrones. Ecología",G4:G451,"No")</f>
        <v>7</v>
      </c>
      <c r="AL78" s="5">
        <f>COUNTIFS(   D4:D451,"Biomatemáticas. Biofísica. Dinámica celular y tumoral.Formación de patrones. Ecología",H4:H451,"Sí")</f>
        <v>0</v>
      </c>
      <c r="AM78" s="5">
        <f>COUNTIFS(   D4:D451,"Biomatemáticas. Biofísica. Dinámica celular y tumoral.Formación de patrones. Ecología",I4:I451,"Sí")</f>
        <v>2</v>
      </c>
      <c r="AN78" s="5">
        <f>COUNTIFS(   D4:D451,"Biomatemáticas. Biofísica. Dinámica celular y tumoral.Formación de patrones. Ecología",I4:I451,"No")</f>
        <v>0</v>
      </c>
      <c r="AO78" s="5">
        <f>SUMIFS( E4:E451, D4:D451,"Biomatemáticas. Biofísica. Dinámica celular y tumoral.Formación de patrones. Ecología",I4:I451,"Sí")</f>
        <v>7</v>
      </c>
      <c r="AP78" s="5">
        <f>SUMIFS( E4:E451, D4:D451,"Biomatemáticas. Biofísica. Dinámica celular y tumoral.Formación de patrones. Ecología",I4:I451,"No")</f>
        <v>0</v>
      </c>
      <c r="AQ78" s="5">
        <f>COUNTIFS(   D4:D451,"Biomatemáticas. Biofísica. Dinámica celular y tumoral.Formación de patrones. Ecología",J4:J451,"Sí")</f>
        <v>2</v>
      </c>
      <c r="AR78" s="5">
        <f>COUNTIFS(   D4:D451,"Biomatemáticas. Biofísica. Dinámica celular y tumoral.Formación de patrones. Ecología",K4:K451,"Sí")</f>
        <v>1</v>
      </c>
      <c r="AS78" s="5">
        <f>COUNTIFS(   D4:D451,"Biomatemáticas. Biofísica. Dinámica celular y tumoral.Formación de patrones. Ecología",L4:L451,"Sí")</f>
        <v>2</v>
      </c>
      <c r="AT78" s="5">
        <f>SUMIFS( E4:E451, D4:D451,"Biomatemáticas. Biofísica. Dinámica celular y tumoral.Formación de patrones. Ecología")</f>
        <v>7</v>
      </c>
      <c r="AU78" s="5">
        <f>SUMIFS( E4:E451, F4:F451,"Hombre", D4:D451,"Biomatemáticas. Biofísica. Dinámica celular y tumoral.Formación de patrones. Ecología")</f>
        <v>6</v>
      </c>
      <c r="AV78" s="5">
        <f>SUMIFS( E4:E451, F4:F451,"Mujer", D4:D451,"Biomatemáticas. Biofísica. Dinámica celular y tumoral.Formación de patrones. Ecología")</f>
        <v>1</v>
      </c>
      <c r="AW78" s="29">
        <f>SUMIFS( E4:E451, A4:A451,"2013", D4:D451,"Biomatemáticas. Biofísica. Dinámica celular y tumoral.Formación de patrones. Ecología")</f>
        <v>0</v>
      </c>
      <c r="AX78" s="5">
        <f>SUMIFS( E4:E451, A4:A451,"2014", D4:D451,"Biomatemáticas. Biofísica. Dinámica celular y tumoral.Formación de patrones. Ecología")</f>
        <v>0</v>
      </c>
      <c r="AY78" s="5">
        <f>SUMIFS( E4:E451, A4:A451,"2015", D4:D451,"Biomatemáticas. Biofísica. Dinámica celular y tumoral.Formación de patrones. Ecología")</f>
        <v>0</v>
      </c>
      <c r="AZ78" s="5">
        <f>SUMIFS( E4:E451, A4:A451,"2016", D4:D451,"Biomatemáticas. Biofísica. Dinámica celular y tumoral.Formación de patrones. Ecología")</f>
        <v>6</v>
      </c>
      <c r="BA78" s="5">
        <f>SUMIFS( E4:E451, A4:A451,"2017", D4:D451,"Biomatemáticas. Biofísica. Dinámica celular y tumoral.Formación de patrones. Ecología")</f>
        <v>1</v>
      </c>
      <c r="BB78" s="29">
        <f>SUMIFS( E4:E451, N4:N451,"2014", D4:D451,"Biomatemáticas. Biofísica. Dinámica celular y tumoral.Formación de patrones. Ecología")</f>
        <v>0</v>
      </c>
      <c r="BC78" s="5">
        <f>SUMIFS( E4:E451, N4:N451,"2015", D4:D451,"Biomatemáticas. Biofísica. Dinámica celular y tumoral.Formación de patrones. Ecología")</f>
        <v>0</v>
      </c>
      <c r="BD78" s="5">
        <f>SUMIFS( E4:E451, N4:N451,"2016", D4:D451,"Biomatemáticas. Biofísica. Dinámica celular y tumoral.Formación de patrones. Ecología")</f>
        <v>0</v>
      </c>
      <c r="BE78" s="5">
        <f>SUMIFS( E4:E451, N4:N451,"2017", D4:D451,"Biomatemáticas. Biofísica. Dinámica celular y tumoral.Formación de patrones. Ecología")</f>
        <v>6</v>
      </c>
      <c r="BF78" s="5">
        <f>SUMIFS( E4:E451, N4:N451,"2018", D4:D451,"Biomatemáticas. Biofísica. Dinámica celular y tumoral.Formación de patrones. Ecología")</f>
        <v>1</v>
      </c>
      <c r="BG78" s="23">
        <f>AVERAGEIFS( E4:E451, D4:D451,"Biomatemáticas. Biofísica. Dinámica celular y tumoral.Formación de patrones. Ecología")</f>
        <v>3.5</v>
      </c>
      <c r="BH78" s="23">
        <v>0</v>
      </c>
      <c r="BI78" s="23">
        <v>0</v>
      </c>
      <c r="BJ78" s="23">
        <v>0</v>
      </c>
      <c r="BK78" s="23">
        <f>AVERAGEIFS( E4:E451, A4:A451,"2016", D4:D451,"Biomatemáticas. Biofísica. Dinámica celular y tumoral.Formación de patrones. Ecología")</f>
        <v>6</v>
      </c>
      <c r="BL78" s="23">
        <f>AVERAGEIFS( E4:E451, A4:A451,"2017", D4:D451,"Biomatemáticas. Biofísica. Dinámica celular y tumoral.Formación de patrones. Ecología")</f>
        <v>1</v>
      </c>
      <c r="BM78" s="23">
        <v>3.5</v>
      </c>
      <c r="BN78" s="23">
        <v>0</v>
      </c>
      <c r="BO78" s="23">
        <v>0</v>
      </c>
      <c r="BP78" s="23">
        <v>0</v>
      </c>
      <c r="BQ78" s="23">
        <v>6</v>
      </c>
      <c r="BR78" s="23">
        <v>1</v>
      </c>
    </row>
    <row r="79" spans="1:70" ht="15" customHeight="1" x14ac:dyDescent="0.25">
      <c r="A79">
        <v>2017</v>
      </c>
      <c r="B79" t="s">
        <v>4</v>
      </c>
      <c r="C79" t="s">
        <v>23</v>
      </c>
      <c r="D79" t="s">
        <v>27</v>
      </c>
      <c r="E79" s="17">
        <v>11</v>
      </c>
      <c r="F79" t="s">
        <v>215</v>
      </c>
      <c r="G79" t="s">
        <v>233</v>
      </c>
      <c r="H79" t="s">
        <v>234</v>
      </c>
      <c r="I79" t="s">
        <v>233</v>
      </c>
      <c r="J79" t="s">
        <v>233</v>
      </c>
      <c r="K79" t="s">
        <v>233</v>
      </c>
      <c r="L79" t="s">
        <v>233</v>
      </c>
      <c r="M79" s="14">
        <v>43224</v>
      </c>
      <c r="N79" s="14" t="str">
        <f t="shared" si="1"/>
        <v>2018</v>
      </c>
      <c r="O79" s="55" t="s">
        <v>110</v>
      </c>
      <c r="P79" s="56"/>
      <c r="Q79" s="56"/>
      <c r="R79" s="56"/>
      <c r="S79" s="56"/>
      <c r="T79" s="57"/>
      <c r="U79" s="5">
        <f>COUNTIFS(   D4:D451,"Cosmología. Fondo cósmico de microondas. Estructura a gran escala")</f>
        <v>1</v>
      </c>
      <c r="V79" s="5">
        <f>COUNTIFS(   D4:D451,"Cosmología. Fondo cósmico de microondas. Estructura a gran escala",F4:F451,"Hombre")</f>
        <v>0</v>
      </c>
      <c r="W79" s="5">
        <f>COUNTIFS(   D4:D451,"Cosmología. Fondo cósmico de microondas. Estructura a gran escala",F4:F451,"Mujer")</f>
        <v>1</v>
      </c>
      <c r="X79" s="29">
        <f>COUNTIFS(   A4:A451,"2013", D4:D451,"Cosmología. Fondo cósmico de microondas. Estructura a gran escala")</f>
        <v>0</v>
      </c>
      <c r="Y79" s="5">
        <f>COUNTIFS(   A4:A451,"2014", D4:D451,"Cosmología. Fondo cósmico de microondas. Estructura a gran escala")</f>
        <v>0</v>
      </c>
      <c r="Z79" s="5">
        <f>COUNTIFS(   A4:A451,"2015", D4:D451,"Cosmología. Fondo cósmico de microondas. Estructura a gran escala")</f>
        <v>0</v>
      </c>
      <c r="AA79" s="5">
        <f>COUNTIFS(   A4:A451,"2016", D4:D451,"Cosmología. Fondo cósmico de microondas. Estructura a gran escala")</f>
        <v>1</v>
      </c>
      <c r="AB79" s="5">
        <f>COUNTIFS(   A4:A451,"2017", D4:D451,"Cosmología. Fondo cósmico de microondas. Estructura a gran escala")</f>
        <v>0</v>
      </c>
      <c r="AC79" s="29">
        <f>COUNTIFS(   N4:N451,"2014", D4:D451,"Cosmología. Fondo cósmico de microondas. Estructura a gran escala")</f>
        <v>0</v>
      </c>
      <c r="AD79" s="5">
        <f>COUNTIFS(   N4:N451,"2015", D4:D451,"Cosmología. Fondo cósmico de microondas. Estructura a gran escala")</f>
        <v>0</v>
      </c>
      <c r="AE79" s="5">
        <f>COUNTIFS(   N4:N451,"2016", D4:D451,"Cosmología. Fondo cósmico de microondas. Estructura a gran escala")</f>
        <v>1</v>
      </c>
      <c r="AF79" s="5">
        <f>COUNTIFS(   N4:N451,"2017", D4:D451,"Cosmología. Fondo cósmico de microondas. Estructura a gran escala")</f>
        <v>0</v>
      </c>
      <c r="AG79" s="5">
        <f>COUNTIFS(   N4:N451,"2018", D4:D451,"Cosmología. Fondo cósmico de microondas. Estructura a gran escala")</f>
        <v>0</v>
      </c>
      <c r="AH79" s="5">
        <f>COUNTIFS(   D4:D451,"Cosmología. Fondo cósmico de microondas. Estructura a gran escala",G4:G451,"Sí")</f>
        <v>0</v>
      </c>
      <c r="AI79" s="5">
        <f>COUNTIFS(   D4:D451,"Cosmología. Fondo cósmico de microondas. Estructura a gran escala",G4:G451,"No")</f>
        <v>1</v>
      </c>
      <c r="AJ79" s="5">
        <f>SUMIFS( E4:E451, D4:D451,"Cosmología. Fondo cósmico de microondas. Estructura a gran escala",G4:G451,"Sí")</f>
        <v>0</v>
      </c>
      <c r="AK79" s="5">
        <f>SUMIFS( E4:E451, D4:D451,"Cosmología. Fondo cósmico de microondas. Estructura a gran escala",G4:G451,"No")</f>
        <v>12</v>
      </c>
      <c r="AL79" s="5">
        <f>COUNTIFS(   D4:D451,"Cosmología. Fondo cósmico de microondas. Estructura a gran escala",H4:H451,"Sí")</f>
        <v>0</v>
      </c>
      <c r="AM79" s="5">
        <f>COUNTIFS(   D4:D451,"Cosmología. Fondo cósmico de microondas. Estructura a gran escala",I4:I451,"Sí")</f>
        <v>1</v>
      </c>
      <c r="AN79" s="5">
        <f>COUNTIFS(   D4:D451,"Cosmología. Fondo cósmico de microondas. Estructura a gran escala",I4:I451,"No")</f>
        <v>0</v>
      </c>
      <c r="AO79" s="5">
        <f>SUMIFS( E4:E451, D4:D451,"Cosmología. Fondo cósmico de microondas. Estructura a gran escala",I4:I451,"Sí")</f>
        <v>12</v>
      </c>
      <c r="AP79" s="5">
        <f>SUMIFS( E4:E451, D4:D451,"Cosmología. Fondo cósmico de microondas. Estructura a gran escala",I4:I451,"No")</f>
        <v>0</v>
      </c>
      <c r="AQ79" s="5">
        <f>COUNTIFS(   D4:D451,"Cosmología. Fondo cósmico de microondas. Estructura a gran escala",J4:J451,"Sí")</f>
        <v>1</v>
      </c>
      <c r="AR79" s="5">
        <f>COUNTIFS(   D4:D451,"Cosmología. Fondo cósmico de microondas. Estructura a gran escala",K4:K451,"Sí")</f>
        <v>0</v>
      </c>
      <c r="AS79" s="5">
        <f>COUNTIFS(   D4:D451,"Cosmología. Fondo cósmico de microondas. Estructura a gran escala",L4:L451,"Sí")</f>
        <v>1</v>
      </c>
      <c r="AT79" s="5">
        <f>SUMIFS( E4:E451, D4:D451,"Cosmología. Fondo cósmico de microondas. Estructura a gran escala")</f>
        <v>12</v>
      </c>
      <c r="AU79" s="5">
        <f>SUMIFS( E4:E451, F4:F451,"Hombre", D4:D451,"Cosmología. Fondo cósmico de microondas. Estructura a gran escala")</f>
        <v>0</v>
      </c>
      <c r="AV79" s="5">
        <f>SUMIFS( E4:E451, F4:F451,"Mujer", D4:D451,"Cosmología. Fondo cósmico de microondas. Estructura a gran escala")</f>
        <v>12</v>
      </c>
      <c r="AW79" s="29">
        <f>SUMIFS( E4:E451, A4:A451,"2013", D4:D451,"Cosmología. Fondo cósmico de microondas. Estructura a gran escala")</f>
        <v>0</v>
      </c>
      <c r="AX79" s="5">
        <f>SUMIFS( E4:E451, A4:A451,"2014", D4:D451,"Cosmología. Fondo cósmico de microondas. Estructura a gran escala")</f>
        <v>0</v>
      </c>
      <c r="AY79" s="5">
        <f>SUMIFS( E4:E451, A4:A451,"2015", D4:D451,"Cosmología. Fondo cósmico de microondas. Estructura a gran escala")</f>
        <v>0</v>
      </c>
      <c r="AZ79" s="5">
        <f>SUMIFS( E4:E451, A4:A451,"2016", D4:D451,"Cosmología. Fondo cósmico de microondas. Estructura a gran escala")</f>
        <v>12</v>
      </c>
      <c r="BA79" s="5">
        <f>SUMIFS( E4:E451, A4:A451,"2017", D4:D451,"Cosmología. Fondo cósmico de microondas. Estructura a gran escala")</f>
        <v>0</v>
      </c>
      <c r="BB79" s="29">
        <f>SUMIFS( E4:E451, N4:N451,"2014", D4:D451,"Cosmología. Fondo cósmico de microondas. Estructura a gran escala")</f>
        <v>0</v>
      </c>
      <c r="BC79" s="5">
        <f>SUMIFS( E4:E451, N4:N451,"2015", D4:D451,"Cosmología. Fondo cósmico de microondas. Estructura a gran escala")</f>
        <v>0</v>
      </c>
      <c r="BD79" s="5">
        <f>SUMIFS( E4:E451, N4:N451,"2016", D4:D451,"Cosmología. Fondo cósmico de microondas. Estructura a gran escala")</f>
        <v>12</v>
      </c>
      <c r="BE79" s="5">
        <f>SUMIFS( E4:E451, N4:N451,"2017", D4:D451,"Cosmología. Fondo cósmico de microondas. Estructura a gran escala")</f>
        <v>0</v>
      </c>
      <c r="BF79" s="5">
        <f>SUMIFS( E4:E451, N4:N451,"2018", D4:D451,"Cosmología. Fondo cósmico de microondas. Estructura a gran escala")</f>
        <v>0</v>
      </c>
      <c r="BG79" s="23">
        <f>AVERAGEIFS( E4:E451, D4:D451,"Cosmología. Fondo cósmico de microondas. Estructura a gran escala")</f>
        <v>12</v>
      </c>
      <c r="BH79" s="23">
        <v>0</v>
      </c>
      <c r="BI79" s="23">
        <v>0</v>
      </c>
      <c r="BJ79" s="23">
        <v>0</v>
      </c>
      <c r="BK79" s="23">
        <f>AVERAGEIFS( E4:E451, A4:A451,"2016", D4:D451,"Cosmología. Fondo cósmico de microondas. Estructura a gran escala")</f>
        <v>12</v>
      </c>
      <c r="BL79" s="23">
        <v>0</v>
      </c>
      <c r="BM79" s="23">
        <v>12</v>
      </c>
      <c r="BN79" s="23">
        <v>0</v>
      </c>
      <c r="BO79" s="23">
        <v>0</v>
      </c>
      <c r="BP79" s="23">
        <v>0</v>
      </c>
      <c r="BQ79" s="23">
        <v>12</v>
      </c>
      <c r="BR79" s="23">
        <v>0</v>
      </c>
    </row>
    <row r="80" spans="1:70" ht="15" customHeight="1" x14ac:dyDescent="0.25">
      <c r="A80">
        <v>2017</v>
      </c>
      <c r="B80" t="s">
        <v>4</v>
      </c>
      <c r="C80" t="s">
        <v>23</v>
      </c>
      <c r="D80" t="s">
        <v>27</v>
      </c>
      <c r="E80">
        <v>7</v>
      </c>
      <c r="F80" t="s">
        <v>215</v>
      </c>
      <c r="G80" t="s">
        <v>233</v>
      </c>
      <c r="H80" t="s">
        <v>234</v>
      </c>
      <c r="I80" t="s">
        <v>234</v>
      </c>
      <c r="J80" t="s">
        <v>234</v>
      </c>
      <c r="K80" t="s">
        <v>233</v>
      </c>
      <c r="L80" t="s">
        <v>234</v>
      </c>
      <c r="M80" s="14">
        <v>43220</v>
      </c>
      <c r="N80" s="14" t="str">
        <f t="shared" si="1"/>
        <v>2018</v>
      </c>
      <c r="O80" s="55" t="s">
        <v>106</v>
      </c>
      <c r="P80" s="56"/>
      <c r="Q80" s="56"/>
      <c r="R80" s="56"/>
      <c r="S80" s="56"/>
      <c r="T80" s="57"/>
      <c r="U80" s="5">
        <f>COUNTIFS(   D4:D451,"Fenómenos cooperativos en Física Estadística: teoría y aplicaciones interdisciplinares. Teoría y simulación de sistemas complejos")</f>
        <v>3</v>
      </c>
      <c r="V80" s="5">
        <f>COUNTIFS(   D4:D451,"Fenómenos cooperativos en Física Estadística: teoría y aplicaciones interdisciplinares. Teoría y simulación de sistemas complejos",F4:F451,"Hombre")</f>
        <v>2</v>
      </c>
      <c r="W80" s="5">
        <f>COUNTIFS(   D4:D451,"Fenómenos cooperativos en Física Estadística: teoría y aplicaciones interdisciplinares. Teoría y simulación de sistemas complejos",F4:F451,"Mujer")</f>
        <v>1</v>
      </c>
      <c r="X80" s="29">
        <f>COUNTIFS(   A4:A451,"2013", D4:D451,"Fenómenos cooperativos en Física Estadística: teoría y aplicaciones interdisciplinares. Teoría y simulación de sistemas complejos")</f>
        <v>0</v>
      </c>
      <c r="Y80" s="5">
        <f>COUNTIFS(   A4:A451,"2014", D4:D451,"Fenómenos cooperativos en Física Estadística: teoría y aplicaciones interdisciplinares. Teoría y simulación de sistemas complejos")</f>
        <v>0</v>
      </c>
      <c r="Z80" s="5">
        <f>COUNTIFS(   A4:A451,"2015", D4:D451,"Fenómenos cooperativos en Física Estadística: teoría y aplicaciones interdisciplinares. Teoría y simulación de sistemas complejos")</f>
        <v>0</v>
      </c>
      <c r="AA80" s="5">
        <f>COUNTIFS(   A4:A451,"2016", D4:D451,"Fenómenos cooperativos en Física Estadística: teoría y aplicaciones interdisciplinares. Teoría y simulación de sistemas complejos")</f>
        <v>1</v>
      </c>
      <c r="AB80" s="5">
        <f>COUNTIFS(   A4:A451,"2017", D4:D451,"Fenómenos cooperativos en Física Estadística: teoría y aplicaciones interdisciplinares. Teoría y simulación de sistemas complejos")</f>
        <v>2</v>
      </c>
      <c r="AC80" s="29">
        <f>COUNTIFS(   N4:N451,"2014", D4:D451,"Fenómenos cooperativos en Física Estadística: teoría y aplicaciones interdisciplinares. Teoría y simulación de sistemas complejos")</f>
        <v>0</v>
      </c>
      <c r="AD80" s="5">
        <f>COUNTIFS(   N4:N451,"2015", D4:D451,"Fenómenos cooperativos en Física Estadística: teoría y aplicaciones interdisciplinares. Teoría y simulación de sistemas complejos")</f>
        <v>0</v>
      </c>
      <c r="AE80" s="5">
        <f>COUNTIFS(   N4:N451,"2016", D4:D451,"Fenómenos cooperativos en Física Estadística: teoría y aplicaciones interdisciplinares. Teoría y simulación de sistemas complejos")</f>
        <v>0</v>
      </c>
      <c r="AF80" s="5">
        <f>COUNTIFS(   N4:N451,"2017", D4:D451,"Fenómenos cooperativos en Física Estadística: teoría y aplicaciones interdisciplinares. Teoría y simulación de sistemas complejos")</f>
        <v>1</v>
      </c>
      <c r="AG80" s="5">
        <f>COUNTIFS(   N4:N451,"2018", D4:D451,"Fenómenos cooperativos en Física Estadística: teoría y aplicaciones interdisciplinares. Teoría y simulación de sistemas complejos")</f>
        <v>2</v>
      </c>
      <c r="AH80" s="5">
        <f>COUNTIFS(   D4:D451,"Fenómenos cooperativos en Física Estadística: teoría y aplicaciones interdisciplinares. Teoría y simulación de sistemas complejos",G4:G451,"Sí")</f>
        <v>1</v>
      </c>
      <c r="AI80" s="5">
        <f>COUNTIFS(   D4:D451,"Fenómenos cooperativos en Física Estadística: teoría y aplicaciones interdisciplinares. Teoría y simulación de sistemas complejos",G4:G451,"No")</f>
        <v>2</v>
      </c>
      <c r="AJ80" s="5">
        <f>SUMIFS( E4:E451, D4:D451,"Fenómenos cooperativos en Física Estadística: teoría y aplicaciones interdisciplinares. Teoría y simulación de sistemas complejos",G4:G451,"Sí")</f>
        <v>16</v>
      </c>
      <c r="AK80" s="5">
        <f>SUMIFS( E4:E451, D4:D451,"Fenómenos cooperativos en Física Estadística: teoría y aplicaciones interdisciplinares. Teoría y simulación de sistemas complejos",G4:G451,"No")</f>
        <v>12</v>
      </c>
      <c r="AL80" s="5">
        <f>COUNTIFS(   D4:D451,"Fenómenos cooperativos en Física Estadística: teoría y aplicaciones interdisciplinares. Teoría y simulación de sistemas complejos",H4:H451,"Sí")</f>
        <v>1</v>
      </c>
      <c r="AM80" s="5">
        <f>COUNTIFS(   D4:D451,"Fenómenos cooperativos en Física Estadística: teoría y aplicaciones interdisciplinares. Teoría y simulación de sistemas complejos",I4:I451,"Sí")</f>
        <v>2</v>
      </c>
      <c r="AN80" s="5">
        <f>COUNTIFS(   D4:D451,"Fenómenos cooperativos en Física Estadística: teoría y aplicaciones interdisciplinares. Teoría y simulación de sistemas complejos",I4:I451,"No")</f>
        <v>1</v>
      </c>
      <c r="AO80" s="5">
        <f>SUMIFS( E4:E451, D4:D451,"Fenómenos cooperativos en Física Estadística: teoría y aplicaciones interdisciplinares. Teoría y simulación de sistemas complejos",I4:I451,"Sí")</f>
        <v>22</v>
      </c>
      <c r="AP80" s="5">
        <f>SUMIFS( E4:E451, D4:D451,"Fenómenos cooperativos en Física Estadística: teoría y aplicaciones interdisciplinares. Teoría y simulación de sistemas complejos",I4:I451,"No")</f>
        <v>6</v>
      </c>
      <c r="AQ80" s="5">
        <f>COUNTIFS(   D4:D451,"Fenómenos cooperativos en Física Estadística: teoría y aplicaciones interdisciplinares. Teoría y simulación de sistemas complejos",J4:J451,"Sí")</f>
        <v>1</v>
      </c>
      <c r="AR80" s="5">
        <f>COUNTIFS(   D4:D451,"Fenómenos cooperativos en Física Estadística: teoría y aplicaciones interdisciplinares. Teoría y simulación de sistemas complejos",K4:K451,"Sí")</f>
        <v>1</v>
      </c>
      <c r="AS80" s="5">
        <f>COUNTIFS(   D4:D451,"Fenómenos cooperativos en Física Estadística: teoría y aplicaciones interdisciplinares. Teoría y simulación de sistemas complejos",L4:L451,"Sí")</f>
        <v>2</v>
      </c>
      <c r="AT80" s="5">
        <f>SUMIFS( E4:E451, D4:D451,"Fenómenos cooperativos en Física Estadística: teoría y aplicaciones interdisciplinares. Teoría y simulación de sistemas complejos")</f>
        <v>28</v>
      </c>
      <c r="AU80" s="5">
        <f>SUMIFS( E4:E451, F4:F451,"Hombre", D4:D451,"Fenómenos cooperativos en Física Estadística: teoría y aplicaciones interdisciplinares. Teoría y simulación de sistemas complejos")</f>
        <v>12</v>
      </c>
      <c r="AV80" s="5">
        <f>SUMIFS( E4:E451, F4:F451,"Mujer", D4:D451,"Fenómenos cooperativos en Física Estadística: teoría y aplicaciones interdisciplinares. Teoría y simulación de sistemas complejos")</f>
        <v>16</v>
      </c>
      <c r="AW80" s="29">
        <f>SUMIFS( E4:E451, A4:A451,"2013", D4:D451,"Fenómenos cooperativos en Física Estadística: teoría y aplicaciones interdisciplinares. Teoría y simulación de sistemas complejos")</f>
        <v>0</v>
      </c>
      <c r="AX80" s="5">
        <f>SUMIFS( E4:E451, A4:A451,"2014", D4:D451,"Fenómenos cooperativos en Física Estadística: teoría y aplicaciones interdisciplinares. Teoría y simulación de sistemas complejos")</f>
        <v>0</v>
      </c>
      <c r="AY80" s="5">
        <f>SUMIFS( E4:E451, A4:A451,"2015", D4:D451,"Fenómenos cooperativos en Física Estadística: teoría y aplicaciones interdisciplinares. Teoría y simulación de sistemas complejos")</f>
        <v>0</v>
      </c>
      <c r="AZ80" s="5">
        <f>SUMIFS( E4:E451, A4:A451,"2016", D4:D451,"Fenómenos cooperativos en Física Estadística: teoría y aplicaciones interdisciplinares. Teoría y simulación de sistemas complejos")</f>
        <v>6</v>
      </c>
      <c r="BA80" s="5">
        <f>SUMIFS( E4:E451, A4:A451,"2017", D4:D451,"Fenómenos cooperativos en Física Estadística: teoría y aplicaciones interdisciplinares. Teoría y simulación de sistemas complejos")</f>
        <v>22</v>
      </c>
      <c r="BB80" s="29">
        <f>SUMIFS( E4:E451, N4:N451,"2014", D4:D451,"Fenómenos cooperativos en Física Estadística: teoría y aplicaciones interdisciplinares. Teoría y simulación de sistemas complejos")</f>
        <v>0</v>
      </c>
      <c r="BC80" s="5">
        <f>SUMIFS( E4:E451, N4:N451,"2015", D4:D451,"Fenómenos cooperativos en Física Estadística: teoría y aplicaciones interdisciplinares. Teoría y simulación de sistemas complejos")</f>
        <v>0</v>
      </c>
      <c r="BD80" s="5">
        <f>SUMIFS( E4:E451, N4:N451,"2016", D4:D451,"Fenómenos cooperativos en Física Estadística: teoría y aplicaciones interdisciplinares. Teoría y simulación de sistemas complejos")</f>
        <v>0</v>
      </c>
      <c r="BE80" s="5">
        <f>SUMIFS( E4:E451, N4:N451,"2017", D4:D451,"Fenómenos cooperativos en Física Estadística: teoría y aplicaciones interdisciplinares. Teoría y simulación de sistemas complejos")</f>
        <v>6</v>
      </c>
      <c r="BF80" s="5">
        <f>SUMIFS( E4:E451, N4:N451,"2018", D4:D451,"Fenómenos cooperativos en Física Estadística: teoría y aplicaciones interdisciplinares. Teoría y simulación de sistemas complejos")</f>
        <v>22</v>
      </c>
      <c r="BG80" s="23">
        <f>AVERAGEIFS( E4:E451, D4:D451,"Fenómenos cooperativos en Física Estadística: teoría y aplicaciones interdisciplinares. Teoría y simulación de sistemas complejos")</f>
        <v>9.3333333333333339</v>
      </c>
      <c r="BH80" s="23">
        <v>0</v>
      </c>
      <c r="BI80" s="23">
        <v>0</v>
      </c>
      <c r="BJ80" s="23">
        <v>0</v>
      </c>
      <c r="BK80" s="23">
        <f>AVERAGEIFS( E4:E451, A4:A451,"2016", D4:D451,"Fenómenos cooperativos en Física Estadística: teoría y aplicaciones interdisciplinares. Teoría y simulación de sistemas complejos")</f>
        <v>6</v>
      </c>
      <c r="BL80" s="23">
        <f>AVERAGEIFS( E4:E451, A4:A451,"2017", D4:D451,"Fenómenos cooperativos en Física Estadística: teoría y aplicaciones interdisciplinares. Teoría y simulación de sistemas complejos")</f>
        <v>11</v>
      </c>
      <c r="BM80" s="23">
        <v>9.3333333333333339</v>
      </c>
      <c r="BN80" s="23">
        <v>0</v>
      </c>
      <c r="BO80" s="23">
        <v>0</v>
      </c>
      <c r="BP80" s="23">
        <v>0</v>
      </c>
      <c r="BQ80" s="23">
        <v>6</v>
      </c>
      <c r="BR80" s="23">
        <v>11</v>
      </c>
    </row>
    <row r="81" spans="1:70" ht="15" customHeight="1" x14ac:dyDescent="0.25">
      <c r="A81">
        <v>2017</v>
      </c>
      <c r="B81" t="s">
        <v>4</v>
      </c>
      <c r="C81" t="s">
        <v>23</v>
      </c>
      <c r="D81" t="s">
        <v>25</v>
      </c>
      <c r="E81">
        <v>24</v>
      </c>
      <c r="F81" t="s">
        <v>211</v>
      </c>
      <c r="G81" t="s">
        <v>233</v>
      </c>
      <c r="H81" t="s">
        <v>233</v>
      </c>
      <c r="I81" t="s">
        <v>233</v>
      </c>
      <c r="J81" t="s">
        <v>234</v>
      </c>
      <c r="K81" t="s">
        <v>234</v>
      </c>
      <c r="L81" t="s">
        <v>234</v>
      </c>
      <c r="M81" s="14">
        <v>43203</v>
      </c>
      <c r="N81" s="14" t="str">
        <f t="shared" si="1"/>
        <v>2018</v>
      </c>
      <c r="O81" s="55" t="s">
        <v>104</v>
      </c>
      <c r="P81" s="56"/>
      <c r="Q81" s="56"/>
      <c r="R81" s="56"/>
      <c r="S81" s="56"/>
      <c r="T81" s="57"/>
      <c r="U81" s="5">
        <f>COUNTIFS(   D4:D451,"Física de la Información. Átomos en Campos Externos. Teoría de Aproximación")</f>
        <v>4</v>
      </c>
      <c r="V81" s="5">
        <f>COUNTIFS(   D4:D451,"Física de la Información. Átomos en Campos Externos. Teoría de Aproximación",F4:F451,"Hombre")</f>
        <v>3</v>
      </c>
      <c r="W81" s="5">
        <f>COUNTIFS(   D4:D451,"Física de la Información. Átomos en Campos Externos. Teoría de Aproximación",F4:F451,"Mujer")</f>
        <v>1</v>
      </c>
      <c r="X81" s="29">
        <f>COUNTIFS(   A4:A451,"2013", D4:D451,"Física de la Información. Átomos en Campos Externos. Teoría de Aproximación")</f>
        <v>0</v>
      </c>
      <c r="Y81" s="5">
        <f>COUNTIFS(   A4:A451,"2014", D4:D451,"Física de la Información. Átomos en Campos Externos. Teoría de Aproximación")</f>
        <v>0</v>
      </c>
      <c r="Z81" s="5">
        <f>COUNTIFS(   A4:A451,"2015", D4:D451,"Física de la Información. Átomos en Campos Externos. Teoría de Aproximación")</f>
        <v>0</v>
      </c>
      <c r="AA81" s="5">
        <f>COUNTIFS(   A4:A451,"2016", D4:D451,"Física de la Información. Átomos en Campos Externos. Teoría de Aproximación")</f>
        <v>0</v>
      </c>
      <c r="AB81" s="5">
        <f>COUNTIFS(   A4:A451,"2017", D4:D451,"Física de la Información. Átomos en Campos Externos. Teoría de Aproximación")</f>
        <v>4</v>
      </c>
      <c r="AC81" s="29">
        <f>COUNTIFS(   N4:N451,"2014", D4:D451,"Física de la Información. Átomos en Campos Externos. Teoría de Aproximación")</f>
        <v>0</v>
      </c>
      <c r="AD81" s="5">
        <f>COUNTIFS(   N4:N451,"2015", D4:D451,"Física de la Información. Átomos en Campos Externos. Teoría de Aproximación")</f>
        <v>0</v>
      </c>
      <c r="AE81" s="5">
        <f>COUNTIFS(   N4:N451,"2016", D4:D451,"Física de la Información. Átomos en Campos Externos. Teoría de Aproximación")</f>
        <v>0</v>
      </c>
      <c r="AF81" s="5">
        <f>COUNTIFS(   N4:N451,"2017", D4:D451,"Física de la Información. Átomos en Campos Externos. Teoría de Aproximación")</f>
        <v>0</v>
      </c>
      <c r="AG81" s="5">
        <f>COUNTIFS(   N4:N451,"2018", D4:D451,"Física de la Información. Átomos en Campos Externos. Teoría de Aproximación")</f>
        <v>4</v>
      </c>
      <c r="AH81" s="5">
        <f>COUNTIFS(   D4:D451,"Física de la Información. Átomos en Campos Externos. Teoría de Aproximación",G4:G451,"Sí")</f>
        <v>0</v>
      </c>
      <c r="AI81" s="5">
        <f>COUNTIFS(   D4:D451,"Física de la Información. Átomos en Campos Externos. Teoría de Aproximación",G4:G451,"No")</f>
        <v>4</v>
      </c>
      <c r="AJ81" s="5">
        <f>SUMIFS( E4:E451, D4:D451,"Física de la Información. Átomos en Campos Externos. Teoría de Aproximación",G4:G451,"Sí")</f>
        <v>0</v>
      </c>
      <c r="AK81" s="5">
        <f>SUMIFS( E4:E451, D4:D451,"Física de la Información. Átomos en Campos Externos. Teoría de Aproximación",G4:G451,"No")</f>
        <v>39</v>
      </c>
      <c r="AL81" s="5">
        <f>COUNTIFS(   D4:D451,"Física de la Información. Átomos en Campos Externos. Teoría de Aproximación",H4:H451,"Sí")</f>
        <v>0</v>
      </c>
      <c r="AM81" s="5">
        <f>COUNTIFS(   D4:D451,"Física de la Información. Átomos en Campos Externos. Teoría de Aproximación",I4:I451,"Sí")</f>
        <v>3</v>
      </c>
      <c r="AN81" s="5">
        <f>COUNTIFS(   D4:D451,"Física de la Información. Átomos en Campos Externos. Teoría de Aproximación",I4:I451,"No")</f>
        <v>1</v>
      </c>
      <c r="AO81" s="5">
        <f>SUMIFS( E4:E451, D4:D451,"Física de la Información. Átomos en Campos Externos. Teoría de Aproximación",I4:I451,"Sí")</f>
        <v>36</v>
      </c>
      <c r="AP81" s="5">
        <f>SUMIFS( E4:E451, D4:D451,"Física de la Información. Átomos en Campos Externos. Teoría de Aproximación",I4:I451,"No")</f>
        <v>3</v>
      </c>
      <c r="AQ81" s="5">
        <f>COUNTIFS(   D4:D451,"Física de la Información. Átomos en Campos Externos. Teoría de Aproximación",J4:J451,"Sí")</f>
        <v>3</v>
      </c>
      <c r="AR81" s="5">
        <f>COUNTIFS(   D4:D451,"Física de la Información. Átomos en Campos Externos. Teoría de Aproximación",K4:K451,"Sí")</f>
        <v>3</v>
      </c>
      <c r="AS81" s="5">
        <f>COUNTIFS(   D4:D451,"Física de la Información. Átomos en Campos Externos. Teoría de Aproximación",L4:L451,"Sí")</f>
        <v>2</v>
      </c>
      <c r="AT81" s="5">
        <f>SUMIFS( E4:E451, D4:D451,"Física de la Información. Átomos en Campos Externos. Teoría de Aproximación")</f>
        <v>39</v>
      </c>
      <c r="AU81" s="5">
        <f>SUMIFS( E4:E451, F4:F451,"Hombre", D4:D451,"Física de la Información. Átomos en Campos Externos. Teoría de Aproximación")</f>
        <v>16</v>
      </c>
      <c r="AV81" s="5">
        <f>SUMIFS( E4:E451, F4:F451,"Mujer", D4:D451,"Física de la Información. Átomos en Campos Externos. Teoría de Aproximación")</f>
        <v>23</v>
      </c>
      <c r="AW81" s="29">
        <f>SUMIFS( E4:E451, A4:A451,"2013", D4:D451,"Física de la Información. Átomos en Campos Externos. Teoría de Aproximación")</f>
        <v>0</v>
      </c>
      <c r="AX81" s="5">
        <f>SUMIFS( E4:E451, A4:A451,"2014", D4:D451,"Física de la Información. Átomos en Campos Externos. Teoría de Aproximación")</f>
        <v>0</v>
      </c>
      <c r="AY81" s="5">
        <f>SUMIFS( E4:E451, A4:A451,"2015", D4:D451,"Física de la Información. Átomos en Campos Externos. Teoría de Aproximación")</f>
        <v>0</v>
      </c>
      <c r="AZ81" s="5">
        <f>SUMIFS( E4:E451, A4:A451,"2016", D4:D451,"Física de la Información. Átomos en Campos Externos. Teoría de Aproximación")</f>
        <v>0</v>
      </c>
      <c r="BA81" s="5">
        <f>SUMIFS( E4:E451, A4:A451,"2017", D4:D451,"Física de la Información. Átomos en Campos Externos. Teoría de Aproximación")</f>
        <v>39</v>
      </c>
      <c r="BB81" s="29">
        <f>SUMIFS( E4:E451, N4:N451,"2014", D4:D451,"Física de la Información. Átomos en Campos Externos. Teoría de Aproximación")</f>
        <v>0</v>
      </c>
      <c r="BC81" s="5">
        <f>SUMIFS( E4:E451, N4:N451,"2015", D4:D451,"Física de la Información. Átomos en Campos Externos. Teoría de Aproximación")</f>
        <v>0</v>
      </c>
      <c r="BD81" s="5">
        <f>SUMIFS( E4:E451, N4:N451,"2016", D4:D451,"Física de la Información. Átomos en Campos Externos. Teoría de Aproximación")</f>
        <v>0</v>
      </c>
      <c r="BE81" s="5">
        <f>SUMIFS( E4:E451, N4:N451,"2017", D4:D451,"Física de la Información. Átomos en Campos Externos. Teoría de Aproximación")</f>
        <v>0</v>
      </c>
      <c r="BF81" s="5">
        <f>SUMIFS( E4:E451, N4:N451,"2018", D4:D451,"Física de la Información. Átomos en Campos Externos. Teoría de Aproximación")</f>
        <v>39</v>
      </c>
      <c r="BG81" s="23">
        <f>AVERAGEIFS( E4:E451, D4:D451,"Física de la Información. Átomos en Campos Externos. Teoría de Aproximación")</f>
        <v>9.75</v>
      </c>
      <c r="BH81" s="23">
        <v>0</v>
      </c>
      <c r="BI81" s="23">
        <v>0</v>
      </c>
      <c r="BJ81" s="23">
        <v>0</v>
      </c>
      <c r="BK81" s="23">
        <v>0</v>
      </c>
      <c r="BL81" s="23">
        <f>AVERAGEIFS( E4:E451, A4:A451,"2017", D4:D451,"Física de la Información. Átomos en Campos Externos. Teoría de Aproximación")</f>
        <v>9.75</v>
      </c>
      <c r="BM81" s="23">
        <v>9.75</v>
      </c>
      <c r="BN81" s="23">
        <v>0</v>
      </c>
      <c r="BO81" s="23">
        <v>0</v>
      </c>
      <c r="BP81" s="23">
        <v>0</v>
      </c>
      <c r="BQ81" s="23">
        <v>0</v>
      </c>
      <c r="BR81" s="23">
        <v>9.75</v>
      </c>
    </row>
    <row r="82" spans="1:70" ht="15" customHeight="1" x14ac:dyDescent="0.25">
      <c r="A82">
        <v>2017</v>
      </c>
      <c r="B82" t="s">
        <v>4</v>
      </c>
      <c r="C82" t="s">
        <v>23</v>
      </c>
      <c r="D82" t="s">
        <v>27</v>
      </c>
      <c r="E82">
        <v>5</v>
      </c>
      <c r="F82" t="s">
        <v>211</v>
      </c>
      <c r="G82" t="s">
        <v>233</v>
      </c>
      <c r="H82" t="s">
        <v>233</v>
      </c>
      <c r="I82" t="s">
        <v>233</v>
      </c>
      <c r="J82" t="s">
        <v>234</v>
      </c>
      <c r="K82" t="s">
        <v>234</v>
      </c>
      <c r="L82" t="s">
        <v>234</v>
      </c>
      <c r="M82" s="14">
        <v>43172</v>
      </c>
      <c r="N82" s="14" t="str">
        <f t="shared" si="1"/>
        <v>2018</v>
      </c>
      <c r="O82" s="55" t="s">
        <v>105</v>
      </c>
      <c r="P82" s="56"/>
      <c r="Q82" s="56"/>
      <c r="R82" s="56"/>
      <c r="S82" s="56"/>
      <c r="T82" s="57"/>
      <c r="U82" s="5">
        <f>COUNTIFS(   D4:D451,"Geometría y dinámica de partículas y cuerdas relativistas. Geometría de Lorentz y Gravitación")</f>
        <v>1</v>
      </c>
      <c r="V82" s="5">
        <f>COUNTIFS(   D4:D451,"Geometría y dinámica de partículas y cuerdas relativistas. Geometría de Lorentz y Gravitación",F4:F451,"Hombre")</f>
        <v>1</v>
      </c>
      <c r="W82" s="5">
        <f>COUNTIFS(   D4:D451,"Geometría y dinámica de partículas y cuerdas relativistas. Geometría de Lorentz y Gravitación",F4:F451,"Mujer")</f>
        <v>0</v>
      </c>
      <c r="X82" s="29">
        <f>COUNTIFS(   A4:A451,"2013", D4:D451,"Geometría y dinámica de partículas y cuerdas relativistas. Geometría de Lorentz y Gravitación")</f>
        <v>0</v>
      </c>
      <c r="Y82" s="5">
        <f>COUNTIFS(   A4:A451,"2014", D4:D451,"Geometría y dinámica de partículas y cuerdas relativistas. Geometría de Lorentz y Gravitación")</f>
        <v>0</v>
      </c>
      <c r="Z82" s="5">
        <f>COUNTIFS(   A4:A451,"2015", D4:D451,"Geometría y dinámica de partículas y cuerdas relativistas. Geometría de Lorentz y Gravitación")</f>
        <v>0</v>
      </c>
      <c r="AA82" s="5">
        <f>COUNTIFS(   A4:A451,"2016", D4:D451,"Geometría y dinámica de partículas y cuerdas relativistas. Geometría de Lorentz y Gravitación")</f>
        <v>0</v>
      </c>
      <c r="AB82" s="5">
        <f>COUNTIFS(   A4:A451,"2017", D4:D451,"Geometría y dinámica de partículas y cuerdas relativistas. Geometría de Lorentz y Gravitación")</f>
        <v>1</v>
      </c>
      <c r="AC82" s="29">
        <f>COUNTIFS(   N4:N451,"2014", D4:D451,"Geometría y dinámica de partículas y cuerdas relativistas. Geometría de Lorentz y Gravitación")</f>
        <v>0</v>
      </c>
      <c r="AD82" s="5">
        <f>COUNTIFS(   N4:N451,"2015", D4:D451,"Geometría y dinámica de partículas y cuerdas relativistas. Geometría de Lorentz y Gravitación")</f>
        <v>0</v>
      </c>
      <c r="AE82" s="5">
        <f>COUNTIFS(   N4:N451,"2016", D4:D451,"Geometría y dinámica de partículas y cuerdas relativistas. Geometría de Lorentz y Gravitación")</f>
        <v>0</v>
      </c>
      <c r="AF82" s="5">
        <f>COUNTIFS(   N4:N451,"2017", D4:D451,"Geometría y dinámica de partículas y cuerdas relativistas. Geometría de Lorentz y Gravitación")</f>
        <v>0</v>
      </c>
      <c r="AG82" s="5">
        <f>COUNTIFS(   N4:N451,"2018", D4:D451,"Geometría y dinámica de partículas y cuerdas relativistas. Geometría de Lorentz y Gravitación")</f>
        <v>1</v>
      </c>
      <c r="AH82" s="5">
        <f>COUNTIFS(   D4:D451,"Geometría y dinámica de partículas y cuerdas relativistas. Geometría de Lorentz y Gravitación",G4:G451,"Sí")</f>
        <v>0</v>
      </c>
      <c r="AI82" s="5">
        <f>COUNTIFS(   D4:D451,"Geometría y dinámica de partículas y cuerdas relativistas. Geometría de Lorentz y Gravitación",G4:G451,"No")</f>
        <v>1</v>
      </c>
      <c r="AJ82" s="5">
        <f>SUMIFS( E4:E451, D4:D451,"Geometría y dinámica de partículas y cuerdas relativistas. Geometría de Lorentz y Gravitación",G4:G451,"Sí")</f>
        <v>0</v>
      </c>
      <c r="AK82" s="5">
        <f>SUMIFS( E4:E451, D4:D451,"Geometría y dinámica de partículas y cuerdas relativistas. Geometría de Lorentz y Gravitación",G4:G451,"No")</f>
        <v>3</v>
      </c>
      <c r="AL82" s="5">
        <f>COUNTIFS(   D4:D451,"Geometría y dinámica de partículas y cuerdas relativistas. Geometría de Lorentz y Gravitación",H4:H451,"Sí")</f>
        <v>1</v>
      </c>
      <c r="AM82" s="5">
        <f>COUNTIFS(   D4:D451,"Geometría y dinámica de partículas y cuerdas relativistas. Geometría de Lorentz y Gravitación",I4:I451,"Sí")</f>
        <v>1</v>
      </c>
      <c r="AN82" s="5">
        <f>COUNTIFS(   D4:D451,"Geometría y dinámica de partículas y cuerdas relativistas. Geometría de Lorentz y Gravitación",I4:I451,"No")</f>
        <v>0</v>
      </c>
      <c r="AO82" s="5">
        <f>SUMIFS( E4:E451, D4:D451,"Geometría y dinámica de partículas y cuerdas relativistas. Geometría de Lorentz y Gravitación",I4:I451,"Sí")</f>
        <v>3</v>
      </c>
      <c r="AP82" s="5">
        <f>SUMIFS( E4:E451, D4:D451,"Geometría y dinámica de partículas y cuerdas relativistas. Geometría de Lorentz y Gravitación",I4:I451,"No")</f>
        <v>0</v>
      </c>
      <c r="AQ82" s="5">
        <f>COUNTIFS(   D4:D451,"Geometría y dinámica de partículas y cuerdas relativistas. Geometría de Lorentz y Gravitación",J4:J451,"Sí")</f>
        <v>1</v>
      </c>
      <c r="AR82" s="5">
        <f>COUNTIFS(   D4:D451,"Geometría y dinámica de partículas y cuerdas relativistas. Geometría de Lorentz y Gravitación",K4:K451,"Sí")</f>
        <v>1</v>
      </c>
      <c r="AS82" s="5">
        <f>COUNTIFS(   D4:D451,"Geometría y dinámica de partículas y cuerdas relativistas. Geometría de Lorentz y Gravitación",L4:L451,"Sí")</f>
        <v>1</v>
      </c>
      <c r="AT82" s="5">
        <f>SUMIFS( E4:E451, D4:D451,"Geometría y dinámica de partículas y cuerdas relativistas. Geometría de Lorentz y Gravitación")</f>
        <v>3</v>
      </c>
      <c r="AU82" s="5">
        <f>SUMIFS( E4:E451, F4:F451,"Hombre", D4:D451,"Geometría y dinámica de partículas y cuerdas relativistas. Geometría de Lorentz y Gravitación")</f>
        <v>3</v>
      </c>
      <c r="AV82" s="5">
        <f>SUMIFS( E4:E451, F4:F451,"Mujer", D4:D451,"Geometría y dinámica de partículas y cuerdas relativistas. Geometría de Lorentz y Gravitación")</f>
        <v>0</v>
      </c>
      <c r="AW82" s="29">
        <f>SUMIFS( E4:E451, A4:A451,"2013", D4:D451,"Geometría y dinámica de partículas y cuerdas relativistas. Geometría de Lorentz y Gravitación")</f>
        <v>0</v>
      </c>
      <c r="AX82" s="5">
        <f>SUMIFS( E4:E451, A4:A451,"2014", D4:D451,"Geometría y dinámica de partículas y cuerdas relativistas. Geometría de Lorentz y Gravitación")</f>
        <v>0</v>
      </c>
      <c r="AY82" s="5">
        <f>SUMIFS( E4:E451, A4:A451,"2015", D4:D451,"Geometría y dinámica de partículas y cuerdas relativistas. Geometría de Lorentz y Gravitación")</f>
        <v>0</v>
      </c>
      <c r="AZ82" s="5">
        <f>SUMIFS( E4:E451, A4:A451,"2016", D4:D451,"Geometría y dinámica de partículas y cuerdas relativistas. Geometría de Lorentz y Gravitación")</f>
        <v>0</v>
      </c>
      <c r="BA82" s="5">
        <f>SUMIFS( E4:E451, A4:A451,"2017", D4:D451,"Geometría y dinámica de partículas y cuerdas relativistas. Geometría de Lorentz y Gravitación")</f>
        <v>3</v>
      </c>
      <c r="BB82" s="29">
        <f>SUMIFS( E4:E451, N4:N451,"2014", D4:D451,"Geometría y dinámica de partículas y cuerdas relativistas. Geometría de Lorentz y Gravitación")</f>
        <v>0</v>
      </c>
      <c r="BC82" s="5">
        <f>SUMIFS( E4:E451, N4:N451,"2015", D4:D451,"Geometría y dinámica de partículas y cuerdas relativistas. Geometría de Lorentz y Gravitación")</f>
        <v>0</v>
      </c>
      <c r="BD82" s="5">
        <f>SUMIFS( E4:E451, N4:N451,"2016", D4:D451,"Geometría y dinámica de partículas y cuerdas relativistas. Geometría de Lorentz y Gravitación")</f>
        <v>0</v>
      </c>
      <c r="BE82" s="5">
        <f>SUMIFS( E4:E451, N4:N451,"2017", D4:D451,"Geometría y dinámica de partículas y cuerdas relativistas. Geometría de Lorentz y Gravitación")</f>
        <v>0</v>
      </c>
      <c r="BF82" s="5">
        <f>SUMIFS( E4:E451, N4:N451,"2018", D4:D451,"Geometría y dinámica de partículas y cuerdas relativistas. Geometría de Lorentz y Gravitación")</f>
        <v>3</v>
      </c>
      <c r="BG82" s="23">
        <f>AVERAGEIFS( E4:E451, D4:D451,"Geometría y dinámica de partículas y cuerdas relativistas. Geometría de Lorentz y Gravitación")</f>
        <v>3</v>
      </c>
      <c r="BH82" s="23">
        <v>0</v>
      </c>
      <c r="BI82" s="23">
        <v>0</v>
      </c>
      <c r="BJ82" s="23">
        <v>0</v>
      </c>
      <c r="BK82" s="23">
        <v>0</v>
      </c>
      <c r="BL82" s="23">
        <f>AVERAGEIFS( E4:E451, A4:A451,"2017", D4:D451,"Geometría y dinámica de partículas y cuerdas relativistas. Geometría de Lorentz y Gravitación")</f>
        <v>3</v>
      </c>
      <c r="BM82" s="23">
        <v>3</v>
      </c>
      <c r="BN82" s="23">
        <v>0</v>
      </c>
      <c r="BO82" s="23">
        <v>0</v>
      </c>
      <c r="BP82" s="23">
        <v>0</v>
      </c>
      <c r="BQ82" s="23">
        <v>0</v>
      </c>
      <c r="BR82" s="23">
        <v>3</v>
      </c>
    </row>
    <row r="83" spans="1:70" ht="15" customHeight="1" x14ac:dyDescent="0.25">
      <c r="A83">
        <v>2017</v>
      </c>
      <c r="B83" t="s">
        <v>4</v>
      </c>
      <c r="C83" t="s">
        <v>23</v>
      </c>
      <c r="D83" t="s">
        <v>27</v>
      </c>
      <c r="E83">
        <v>99</v>
      </c>
      <c r="F83" t="s">
        <v>211</v>
      </c>
      <c r="G83" t="s">
        <v>233</v>
      </c>
      <c r="H83" t="s">
        <v>233</v>
      </c>
      <c r="I83" t="s">
        <v>233</v>
      </c>
      <c r="J83" t="s">
        <v>234</v>
      </c>
      <c r="K83" t="s">
        <v>234</v>
      </c>
      <c r="L83" t="s">
        <v>234</v>
      </c>
      <c r="M83" s="14">
        <v>43161</v>
      </c>
      <c r="N83" s="14" t="str">
        <f t="shared" si="1"/>
        <v>2018</v>
      </c>
      <c r="O83" s="55" t="s">
        <v>108</v>
      </c>
      <c r="P83" s="56"/>
      <c r="Q83" s="56"/>
      <c r="R83" s="56"/>
      <c r="S83" s="56"/>
      <c r="T83" s="57"/>
      <c r="U83" s="5">
        <f>COUNTIFS(   D4:D451,"Sistemas dinámicos. Dinámica hamiltoniana. Teoría cualitativa de ecuaciones diferenciales. Optimización y métodos variacionales. Análisis no lineal y ecuaciones elípticas")</f>
        <v>3</v>
      </c>
      <c r="V83" s="5">
        <f>COUNTIFS(   D4:D451,"Sistemas dinámicos. Dinámica hamiltoniana. Teoría cualitativa de ecuaciones diferenciales. Optimización y métodos variacionales. Análisis no lineal y ecuaciones elípticas",F4:F451,"Hombre")</f>
        <v>3</v>
      </c>
      <c r="W83" s="5">
        <f>COUNTIFS(   D4:D451,"Sistemas dinámicos. Dinámica hamiltoniana. Teoría cualitativa de ecuaciones diferenciales. Optimización y métodos variacionales. Análisis no lineal y ecuaciones elípticas",F4:F451,"Mujer")</f>
        <v>0</v>
      </c>
      <c r="X83" s="29">
        <f>COUNTIFS(   A4:A451,"2013", D4:D451,"Sistemas dinámicos. Dinámica hamiltoniana. Teoría cualitativa de ecuaciones diferenciales. Optimización y métodos variacionales. Análisis no lineal y ecuaciones elípticas")</f>
        <v>0</v>
      </c>
      <c r="Y83" s="5">
        <f>COUNTIFS(   A4:A451,"2014", D4:D451,"Sistemas dinámicos. Dinámica hamiltoniana. Teoría cualitativa de ecuaciones diferenciales. Optimización y métodos variacionales. Análisis no lineal y ecuaciones elípticas")</f>
        <v>0</v>
      </c>
      <c r="Z83" s="5">
        <f>COUNTIFS(   A4:A451,"2015", D4:D451,"Sistemas dinámicos. Dinámica hamiltoniana. Teoría cualitativa de ecuaciones diferenciales. Optimización y métodos variacionales. Análisis no lineal y ecuaciones elípticas")</f>
        <v>1</v>
      </c>
      <c r="AA83" s="5">
        <f>COUNTIFS(   A4:A451,"2016", D4:D451,"Sistemas dinámicos. Dinámica hamiltoniana. Teoría cualitativa de ecuaciones diferenciales. Optimización y métodos variacionales. Análisis no lineal y ecuaciones elípticas")</f>
        <v>1</v>
      </c>
      <c r="AB83" s="5">
        <f>COUNTIFS(   A4:A451,"2017", D4:D451,"Sistemas dinámicos. Dinámica hamiltoniana. Teoría cualitativa de ecuaciones diferenciales. Optimización y métodos variacionales. Análisis no lineal y ecuaciones elípticas")</f>
        <v>1</v>
      </c>
      <c r="AC83" s="29">
        <f>COUNTIFS(   N4:N451,"2014", D4:D451,"Sistemas dinámicos. Dinámica hamiltoniana. Teoría cualitativa de ecuaciones diferenciales. Optimización y métodos variacionales. Análisis no lineal y ecuaciones elípticas")</f>
        <v>0</v>
      </c>
      <c r="AD83" s="5">
        <f>COUNTIFS(   N4:N451,"2015", D4:D451,"Sistemas dinámicos. Dinámica hamiltoniana. Teoría cualitativa de ecuaciones diferenciales. Optimización y métodos variacionales. Análisis no lineal y ecuaciones elípticas")</f>
        <v>0</v>
      </c>
      <c r="AE83" s="5">
        <f>COUNTIFS(   N4:N451,"2016", D4:D451,"Sistemas dinámicos. Dinámica hamiltoniana. Teoría cualitativa de ecuaciones diferenciales. Optimización y métodos variacionales. Análisis no lineal y ecuaciones elípticas")</f>
        <v>1</v>
      </c>
      <c r="AF83" s="5">
        <f>COUNTIFS(   N4:N451,"2017", D4:D451,"Sistemas dinámicos. Dinámica hamiltoniana. Teoría cualitativa de ecuaciones diferenciales. Optimización y métodos variacionales. Análisis no lineal y ecuaciones elípticas")</f>
        <v>1</v>
      </c>
      <c r="AG83" s="5">
        <f>COUNTIFS(   N4:N451,"2018", D4:D451,"Sistemas dinámicos. Dinámica hamiltoniana. Teoría cualitativa de ecuaciones diferenciales. Optimización y métodos variacionales. Análisis no lineal y ecuaciones elípticas")</f>
        <v>1</v>
      </c>
      <c r="AH83" s="5">
        <f>COUNTIFS(   D4:D451,"Sistemas dinámicos. Dinámica hamiltoniana. Teoría cualitativa de ecuaciones diferenciales. Optimización y métodos variacionales. Análisis no lineal y ecuaciones elípticas",G4:G451,"Sí")</f>
        <v>0</v>
      </c>
      <c r="AI83" s="5">
        <f>COUNTIFS(   D4:D451,"Sistemas dinámicos. Dinámica hamiltoniana. Teoría cualitativa de ecuaciones diferenciales. Optimización y métodos variacionales. Análisis no lineal y ecuaciones elípticas",G4:G451,"No")</f>
        <v>3</v>
      </c>
      <c r="AJ83" s="5">
        <f>SUMIFS( E4:E451, D4:D451,"Sistemas dinámicos. Dinámica hamiltoniana. Teoría cualitativa de ecuaciones diferenciales. Optimización y métodos variacionales. Análisis no lineal y ecuaciones elípticas",G4:G451,"Sí")</f>
        <v>0</v>
      </c>
      <c r="AK83" s="5">
        <f>SUMIFS( E4:E451, D4:D451,"Sistemas dinámicos. Dinámica hamiltoniana. Teoría cualitativa de ecuaciones diferenciales. Optimización y métodos variacionales. Análisis no lineal y ecuaciones elípticas",G4:G451,"No")</f>
        <v>25</v>
      </c>
      <c r="AL83" s="5">
        <f>COUNTIFS(   D4:D451,"Sistemas dinámicos. Dinámica hamiltoniana. Teoría cualitativa de ecuaciones diferenciales. Optimización y métodos variacionales. Análisis no lineal y ecuaciones elípticas",H4:H451,"Sí")</f>
        <v>1</v>
      </c>
      <c r="AM83" s="5">
        <f>COUNTIFS(   D4:D451,"Sistemas dinámicos. Dinámica hamiltoniana. Teoría cualitativa de ecuaciones diferenciales. Optimización y métodos variacionales. Análisis no lineal y ecuaciones elípticas",I4:I451,"Sí")</f>
        <v>3</v>
      </c>
      <c r="AN83" s="5">
        <f>COUNTIFS(   D4:D451,"Sistemas dinámicos. Dinámica hamiltoniana. Teoría cualitativa de ecuaciones diferenciales. Optimización y métodos variacionales. Análisis no lineal y ecuaciones elípticas",I4:I451,"No")</f>
        <v>0</v>
      </c>
      <c r="AO83" s="5">
        <f>SUMIFS( E4:E451, D4:D451,"Sistemas dinámicos. Dinámica hamiltoniana. Teoría cualitativa de ecuaciones diferenciales. Optimización y métodos variacionales. Análisis no lineal y ecuaciones elípticas",I4:I451,"Sí")</f>
        <v>25</v>
      </c>
      <c r="AP83" s="5">
        <f>SUMIFS( E4:E451, D4:D451,"Sistemas dinámicos. Dinámica hamiltoniana. Teoría cualitativa de ecuaciones diferenciales. Optimización y métodos variacionales. Análisis no lineal y ecuaciones elípticas",I4:I451,"No")</f>
        <v>0</v>
      </c>
      <c r="AQ83" s="5">
        <f>COUNTIFS(   D4:D451,"Sistemas dinámicos. Dinámica hamiltoniana. Teoría cualitativa de ecuaciones diferenciales. Optimización y métodos variacionales. Análisis no lineal y ecuaciones elípticas",J4:J451,"Sí")</f>
        <v>3</v>
      </c>
      <c r="AR83" s="5">
        <f>COUNTIFS(   D4:D451,"Sistemas dinámicos. Dinámica hamiltoniana. Teoría cualitativa de ecuaciones diferenciales. Optimización y métodos variacionales. Análisis no lineal y ecuaciones elípticas",K4:K451,"Sí")</f>
        <v>2</v>
      </c>
      <c r="AS83" s="5">
        <f>COUNTIFS(   D4:D451,"Sistemas dinámicos. Dinámica hamiltoniana. Teoría cualitativa de ecuaciones diferenciales. Optimización y métodos variacionales. Análisis no lineal y ecuaciones elípticas",L4:L451,"Sí")</f>
        <v>3</v>
      </c>
      <c r="AT83" s="5">
        <f>SUMIFS( E4:E451, D4:D451,"Sistemas dinámicos. Dinámica hamiltoniana. Teoría cualitativa de ecuaciones diferenciales. Optimización y métodos variacionales. Análisis no lineal y ecuaciones elípticas")</f>
        <v>25</v>
      </c>
      <c r="AU83" s="5">
        <f>SUMIFS( E4:E451, F4:F451,"Hombre", D4:D451,"Sistemas dinámicos. Dinámica hamiltoniana. Teoría cualitativa de ecuaciones diferenciales. Optimización y métodos variacionales. Análisis no lineal y ecuaciones elípticas")</f>
        <v>25</v>
      </c>
      <c r="AV83" s="5">
        <f>SUMIFS( E4:E451, F4:F451,"Mujer", D4:D451,"Sistemas dinámicos. Dinámica hamiltoniana. Teoría cualitativa de ecuaciones diferenciales. Optimización y métodos variacionales. Análisis no lineal y ecuaciones elípticas")</f>
        <v>0</v>
      </c>
      <c r="AW83" s="29">
        <f>SUMIFS( E4:E451, A4:A451,"2013", D4:D451,"Sistemas dinámicos. Dinámica hamiltoniana. Teoría cualitativa de ecuaciones diferenciales. Optimización y métodos variacionales. Análisis no lineal y ecuaciones elípticas")</f>
        <v>0</v>
      </c>
      <c r="AX83" s="5">
        <f>SUMIFS( E4:E451, A4:A451,"2014", D4:D451,"Sistemas dinámicos. Dinámica hamiltoniana. Teoría cualitativa de ecuaciones diferenciales. Optimización y métodos variacionales. Análisis no lineal y ecuaciones elípticas")</f>
        <v>0</v>
      </c>
      <c r="AY83" s="5">
        <f>SUMIFS( E4:E451, A4:A451,"2015", D4:D451,"Sistemas dinámicos. Dinámica hamiltoniana. Teoría cualitativa de ecuaciones diferenciales. Optimización y métodos variacionales. Análisis no lineal y ecuaciones elípticas")</f>
        <v>13</v>
      </c>
      <c r="AZ83" s="5">
        <f>SUMIFS( E4:E451, A4:A451,"2016", D4:D451,"Sistemas dinámicos. Dinámica hamiltoniana. Teoría cualitativa de ecuaciones diferenciales. Optimización y métodos variacionales. Análisis no lineal y ecuaciones elípticas")</f>
        <v>4</v>
      </c>
      <c r="BA83" s="5">
        <f>SUMIFS( E4:E451, A4:A451,"2017", D4:D451,"Sistemas dinámicos. Dinámica hamiltoniana. Teoría cualitativa de ecuaciones diferenciales. Optimización y métodos variacionales. Análisis no lineal y ecuaciones elípticas")</f>
        <v>8</v>
      </c>
      <c r="BB83" s="29">
        <f>SUMIFS( E4:E451, N4:N451,"2014", D4:D451,"Sistemas dinámicos. Dinámica hamiltoniana. Teoría cualitativa de ecuaciones diferenciales. Optimización y métodos variacionales. Análisis no lineal y ecuaciones elípticas")</f>
        <v>0</v>
      </c>
      <c r="BC83" s="5">
        <f>SUMIFS( E4:E451, N4:N451,"2015", D4:D451,"Sistemas dinámicos. Dinámica hamiltoniana. Teoría cualitativa de ecuaciones diferenciales. Optimización y métodos variacionales. Análisis no lineal y ecuaciones elípticas")</f>
        <v>0</v>
      </c>
      <c r="BD83" s="5">
        <f>SUMIFS( E4:E451, N4:N451,"2016", D4:D451,"Sistemas dinámicos. Dinámica hamiltoniana. Teoría cualitativa de ecuaciones diferenciales. Optimización y métodos variacionales. Análisis no lineal y ecuaciones elípticas")</f>
        <v>13</v>
      </c>
      <c r="BE83" s="5">
        <f>SUMIFS( E4:E451, N4:N451,"2017", D4:D451,"Sistemas dinámicos. Dinámica hamiltoniana. Teoría cualitativa de ecuaciones diferenciales. Optimización y métodos variacionales. Análisis no lineal y ecuaciones elípticas")</f>
        <v>4</v>
      </c>
      <c r="BF83" s="5">
        <f>SUMIFS( E4:E451, N4:N451,"2018", D4:D451,"Sistemas dinámicos. Dinámica hamiltoniana. Teoría cualitativa de ecuaciones diferenciales. Optimización y métodos variacionales. Análisis no lineal y ecuaciones elípticas")</f>
        <v>8</v>
      </c>
      <c r="BG83" s="23">
        <f>AVERAGEIFS( E4:E451, D4:D451,"Sistemas dinámicos. Dinámica hamiltoniana. Teoría cualitativa de ecuaciones diferenciales. Optimización y métodos variacionales. Análisis no lineal y ecuaciones elípticas")</f>
        <v>8.3333333333333339</v>
      </c>
      <c r="BH83" s="23">
        <v>0</v>
      </c>
      <c r="BI83" s="23">
        <v>0</v>
      </c>
      <c r="BJ83" s="23">
        <f>AVERAGEIFS( E4:E451, A4:A451,"2015", D4:D451,"Sistemas dinámicos. Dinámica hamiltoniana. Teoría cualitativa de ecuaciones diferenciales. Optimización y métodos variacionales. Análisis no lineal y ecuaciones elípticas")</f>
        <v>13</v>
      </c>
      <c r="BK83" s="23">
        <f>AVERAGEIFS( E4:E451, A4:A451,"2016", D4:D451,"Sistemas dinámicos. Dinámica hamiltoniana. Teoría cualitativa de ecuaciones diferenciales. Optimización y métodos variacionales. Análisis no lineal y ecuaciones elípticas")</f>
        <v>4</v>
      </c>
      <c r="BL83" s="23">
        <f>AVERAGEIFS( E4:E451, A4:A451,"2017", D4:D451,"Sistemas dinámicos. Dinámica hamiltoniana. Teoría cualitativa de ecuaciones diferenciales. Optimización y métodos variacionales. Análisis no lineal y ecuaciones elípticas")</f>
        <v>8</v>
      </c>
      <c r="BM83" s="23">
        <v>8.3333333333333339</v>
      </c>
      <c r="BN83" s="23">
        <v>0</v>
      </c>
      <c r="BO83" s="23">
        <v>0</v>
      </c>
      <c r="BP83" s="23">
        <v>13</v>
      </c>
      <c r="BQ83" s="23">
        <v>4</v>
      </c>
      <c r="BR83" s="23">
        <v>8</v>
      </c>
    </row>
    <row r="84" spans="1:70" ht="15" customHeight="1" x14ac:dyDescent="0.25">
      <c r="A84">
        <v>2017</v>
      </c>
      <c r="B84" t="s">
        <v>4</v>
      </c>
      <c r="C84" t="s">
        <v>23</v>
      </c>
      <c r="D84" t="s">
        <v>27</v>
      </c>
      <c r="E84" s="17">
        <v>1</v>
      </c>
      <c r="F84" t="s">
        <v>215</v>
      </c>
      <c r="G84" t="s">
        <v>233</v>
      </c>
      <c r="H84" t="s">
        <v>233</v>
      </c>
      <c r="I84" t="s">
        <v>233</v>
      </c>
      <c r="J84" t="s">
        <v>234</v>
      </c>
      <c r="K84" t="s">
        <v>234</v>
      </c>
      <c r="L84" t="s">
        <v>234</v>
      </c>
      <c r="M84" s="14">
        <v>43157</v>
      </c>
      <c r="N84" s="14" t="str">
        <f t="shared" si="1"/>
        <v>2018</v>
      </c>
      <c r="O84" s="55" t="s">
        <v>112</v>
      </c>
      <c r="P84" s="56"/>
      <c r="Q84" s="56"/>
      <c r="R84" s="56"/>
      <c r="S84" s="56"/>
      <c r="T84" s="57"/>
      <c r="U84" s="5">
        <f>COUNTIFS(   D4:D451,"Teoría cuántica de campos no lineales. Representación de grupos de dimensión infinita. Cuantización de teorías Gauge. Gravedad cuántica. Física Matemática")</f>
        <v>1</v>
      </c>
      <c r="V84" s="5">
        <f>COUNTIFS(   D4:D451,"Teoría cuántica de campos no lineales. Representación de grupos de dimensión infinita. Cuantización de teorías Gauge. Gravedad cuántica. Física Matemática",F4:F451,"Hombre")</f>
        <v>1</v>
      </c>
      <c r="W84" s="5">
        <f>COUNTIFS(   D4:D451,"Teoría cuántica de campos no lineales. Representación de grupos de dimensión infinita. Cuantización de teorías Gauge. Gravedad cuántica. Física Matemática",F4:F451,"Mujer")</f>
        <v>0</v>
      </c>
      <c r="X84" s="29">
        <f>COUNTIFS(   A4:A451,"2013", D4:D451,"Teoría cuántica de campos no lineales. Representación de grupos de dimensión infinita. Cuantización de teorías Gauge. Gravedad cuántica. Física Matemática")</f>
        <v>0</v>
      </c>
      <c r="Y84" s="5">
        <f>COUNTIFS(   A4:A451,"2014", D4:D451,"Teoría cuántica de campos no lineales. Representación de grupos de dimensión infinita. Cuantización de teorías Gauge. Gravedad cuántica. Física Matemática")</f>
        <v>0</v>
      </c>
      <c r="Z84" s="5">
        <f>COUNTIFS(   A4:A451,"2015", D4:D451,"Teoría cuántica de campos no lineales. Representación de grupos de dimensión infinita. Cuantización de teorías Gauge. Gravedad cuántica. Física Matemática")</f>
        <v>1</v>
      </c>
      <c r="AA84" s="5">
        <f>COUNTIFS(   A4:A451,"2016", D4:D451,"Teoría cuántica de campos no lineales. Representación de grupos de dimensión infinita. Cuantización de teorías Gauge. Gravedad cuántica. Física Matemática")</f>
        <v>0</v>
      </c>
      <c r="AB84" s="5">
        <f>COUNTIFS(   A4:A451,"2017", D4:D451,"Teoría cuántica de campos no lineales. Representación de grupos de dimensión infinita. Cuantización de teorías Gauge. Gravedad cuántica. Física Matemática")</f>
        <v>0</v>
      </c>
      <c r="AC84" s="29">
        <f>COUNTIFS(   N4:N451,"2014", D4:D451,"Teoría cuántica de campos no lineales. Representación de grupos de dimensión infinita. Cuantización de teorías Gauge. Gravedad cuántica. Física Matemática")</f>
        <v>0</v>
      </c>
      <c r="AD84" s="5">
        <f>COUNTIFS(   N4:N451,"2015", D4:D451,"Teoría cuántica de campos no lineales. Representación de grupos de dimensión infinita. Cuantización de teorías Gauge. Gravedad cuántica. Física Matemática")</f>
        <v>0</v>
      </c>
      <c r="AE84" s="5">
        <f>COUNTIFS(   N4:N451,"2016", D4:D451,"Teoría cuántica de campos no lineales. Representación de grupos de dimensión infinita. Cuantización de teorías Gauge. Gravedad cuántica. Física Matemática")</f>
        <v>1</v>
      </c>
      <c r="AF84" s="5">
        <f>COUNTIFS(   N4:N451,"2017", D4:D451,"Teoría cuántica de campos no lineales. Representación de grupos de dimensión infinita. Cuantización de teorías Gauge. Gravedad cuántica. Física Matemática")</f>
        <v>0</v>
      </c>
      <c r="AG84" s="5">
        <f>COUNTIFS(   N4:N451,"2018", D4:D451,"Teoría cuántica de campos no lineales. Representación de grupos de dimensión infinita. Cuantización de teorías Gauge. Gravedad cuántica. Física Matemática")</f>
        <v>0</v>
      </c>
      <c r="AH84" s="5">
        <f>COUNTIFS(   D4:D451,"Teoría cuántica de campos no lineales. Representación de grupos de dimensión infinita. Cuantización de teorías Gauge. Gravedad cuántica. Física Matemática",G4:G451,"Sí")</f>
        <v>0</v>
      </c>
      <c r="AI84" s="5">
        <f>COUNTIFS(   D4:D451,"Teoría cuántica de campos no lineales. Representación de grupos de dimensión infinita. Cuantización de teorías Gauge. Gravedad cuántica. Física Matemática",G4:G451,"No")</f>
        <v>1</v>
      </c>
      <c r="AJ84" s="5">
        <f>SUMIFS( E4:E451, D4:D451,"Teoría cuántica de campos no lineales. Representación de grupos de dimensión infinita. Cuantización de teorías Gauge. Gravedad cuántica. Física Matemática",G4:G451,"Sí")</f>
        <v>0</v>
      </c>
      <c r="AK84" s="5">
        <f>SUMIFS( E4:E451, D4:D451,"Teoría cuántica de campos no lineales. Representación de grupos de dimensión infinita. Cuantización de teorías Gauge. Gravedad cuántica. Física Matemática",G4:G451,"No")</f>
        <v>18</v>
      </c>
      <c r="AL84" s="5">
        <f>COUNTIFS(   D4:D451,"Teoría cuántica de campos no lineales. Representación de grupos de dimensión infinita. Cuantización de teorías Gauge. Gravedad cuántica. Física Matemática",H4:H451,"Sí")</f>
        <v>0</v>
      </c>
      <c r="AM84" s="5">
        <f>COUNTIFS(   D4:D451,"Teoría cuántica de campos no lineales. Representación de grupos de dimensión infinita. Cuantización de teorías Gauge. Gravedad cuántica. Física Matemática",I4:I451,"Sí")</f>
        <v>0</v>
      </c>
      <c r="AN84" s="5">
        <f>COUNTIFS(   D4:D451,"Teoría cuántica de campos no lineales. Representación de grupos de dimensión infinita. Cuantización de teorías Gauge. Gravedad cuántica. Física Matemática",I4:I451,"No")</f>
        <v>1</v>
      </c>
      <c r="AO84" s="5">
        <f>SUMIFS( E4:E451, D4:D451,"Teoría cuántica de campos no lineales. Representación de grupos de dimensión infinita. Cuantización de teorías Gauge. Gravedad cuántica. Física Matemática",I4:I451,"Sí")</f>
        <v>0</v>
      </c>
      <c r="AP84" s="5">
        <f>SUMIFS( E4:E451, D4:D451,"Teoría cuántica de campos no lineales. Representación de grupos de dimensión infinita. Cuantización de teorías Gauge. Gravedad cuántica. Física Matemática",I4:I451,"No")</f>
        <v>18</v>
      </c>
      <c r="AQ84" s="5">
        <f>COUNTIFS(   D4:D451,"Teoría cuántica de campos no lineales. Representación de grupos de dimensión infinita. Cuantización de teorías Gauge. Gravedad cuántica. Física Matemática",J4:J451,"Sí")</f>
        <v>1</v>
      </c>
      <c r="AR84" s="5">
        <f>COUNTIFS(   D4:D451,"Teoría cuántica de campos no lineales. Representación de grupos de dimensión infinita. Cuantización de teorías Gauge. Gravedad cuántica. Física Matemática",K4:K451,"Sí")</f>
        <v>0</v>
      </c>
      <c r="AS84" s="5">
        <f>COUNTIFS(   D4:D451,"Teoría cuántica de campos no lineales. Representación de grupos de dimensión infinita. Cuantización de teorías Gauge. Gravedad cuántica. Física Matemática",L4:L451,"Sí")</f>
        <v>1</v>
      </c>
      <c r="AT84" s="5">
        <f>SUMIFS( E4:E451, D4:D451,"Teoría cuántica de campos no lineales. Representación de grupos de dimensión infinita. Cuantización de teorías Gauge. Gravedad cuántica. Física Matemática")</f>
        <v>18</v>
      </c>
      <c r="AU84" s="5">
        <f>SUMIFS( E4:E451, F4:F451,"Hombre", D4:D451,"Teoría cuántica de campos no lineales. Representación de grupos de dimensión infinita. Cuantización de teorías Gauge. Gravedad cuántica. Física Matemática")</f>
        <v>18</v>
      </c>
      <c r="AV84" s="5">
        <f>SUMIFS( E4:E451, F4:F451,"Mujer", D4:D451,"Teoría cuántica de campos no lineales. Representación de grupos de dimensión infinita. Cuantización de teorías Gauge. Gravedad cuántica. Física Matemática")</f>
        <v>0</v>
      </c>
      <c r="AW84" s="29">
        <f>SUMIFS( E4:E451, A4:A451,"2013", D4:D451,"Teoría cuántica de campos no lineales. Representación de grupos de dimensión infinita. Cuantización de teorías Gauge. Gravedad cuántica. Física Matemática")</f>
        <v>0</v>
      </c>
      <c r="AX84" s="5">
        <f>SUMIFS( E4:E451, A4:A451,"2014", D4:D451,"Teoría cuántica de campos no lineales. Representación de grupos de dimensión infinita. Cuantización de teorías Gauge. Gravedad cuántica. Física Matemática")</f>
        <v>0</v>
      </c>
      <c r="AY84" s="5">
        <f>SUMIFS( E4:E451, A4:A451,"2015", D4:D451,"Teoría cuántica de campos no lineales. Representación de grupos de dimensión infinita. Cuantización de teorías Gauge. Gravedad cuántica. Física Matemática")</f>
        <v>18</v>
      </c>
      <c r="AZ84" s="5">
        <f>SUMIFS( E4:E451, A4:A451,"2016", D4:D451,"Teoría cuántica de campos no lineales. Representación de grupos de dimensión infinita. Cuantización de teorías Gauge. Gravedad cuántica. Física Matemática")</f>
        <v>0</v>
      </c>
      <c r="BA84" s="5">
        <f>SUMIFS( E4:E451, A4:A451,"2017", D4:D451,"Teoría cuántica de campos no lineales. Representación de grupos de dimensión infinita. Cuantización de teorías Gauge. Gravedad cuántica. Física Matemática")</f>
        <v>0</v>
      </c>
      <c r="BB84" s="29">
        <f>SUMIFS( E4:E451, N4:N451,"2014", D4:D451,"Teoría cuántica de campos no lineales. Representación de grupos de dimensión infinita. Cuantización de teorías Gauge. Gravedad cuántica. Física Matemática")</f>
        <v>0</v>
      </c>
      <c r="BC84" s="5">
        <f>SUMIFS( E4:E451, N4:N451,"2015", D4:D451,"Teoría cuántica de campos no lineales. Representación de grupos de dimensión infinita. Cuantización de teorías Gauge. Gravedad cuántica. Física Matemática")</f>
        <v>0</v>
      </c>
      <c r="BD84" s="5">
        <f>SUMIFS( E4:E451, N4:N451,"2016", D4:D451,"Teoría cuántica de campos no lineales. Representación de grupos de dimensión infinita. Cuantización de teorías Gauge. Gravedad cuántica. Física Matemática")</f>
        <v>18</v>
      </c>
      <c r="BE84" s="5">
        <f>SUMIFS( E4:E451, N4:N451,"2017", D4:D451,"Teoría cuántica de campos no lineales. Representación de grupos de dimensión infinita. Cuantización de teorías Gauge. Gravedad cuántica. Física Matemática")</f>
        <v>0</v>
      </c>
      <c r="BF84" s="5">
        <f>SUMIFS( E4:E451, N4:N451,"2018", D4:D451,"Teoría cuántica de campos no lineales. Representación de grupos de dimensión infinita. Cuantización de teorías Gauge. Gravedad cuántica. Física Matemática")</f>
        <v>0</v>
      </c>
      <c r="BG84" s="23">
        <f>AVERAGEIFS( E4:E451, D4:D451,"Teoría cuántica de campos no lineales. Representación de grupos de dimensión infinita. Cuantización de teorías Gauge. Gravedad cuántica. Física Matemática")</f>
        <v>18</v>
      </c>
      <c r="BH84" s="23">
        <v>0</v>
      </c>
      <c r="BI84" s="23">
        <v>0</v>
      </c>
      <c r="BJ84" s="23">
        <f>AVERAGEIFS( E4:E451, A4:A451,"2015", D4:D451,"Teoría cuántica de campos no lineales. Representación de grupos de dimensión infinita. Cuantización de teorías Gauge. Gravedad cuántica. Física Matemática")</f>
        <v>18</v>
      </c>
      <c r="BK84" s="23">
        <v>0</v>
      </c>
      <c r="BL84" s="23">
        <v>0</v>
      </c>
      <c r="BM84" s="23">
        <v>18</v>
      </c>
      <c r="BN84" s="23">
        <v>0</v>
      </c>
      <c r="BO84" s="23">
        <v>0</v>
      </c>
      <c r="BP84" s="23">
        <v>18</v>
      </c>
      <c r="BQ84" s="23">
        <v>0</v>
      </c>
      <c r="BR84" s="23">
        <v>0</v>
      </c>
    </row>
    <row r="85" spans="1:70" ht="15" customHeight="1" x14ac:dyDescent="0.25">
      <c r="A85">
        <v>2017</v>
      </c>
      <c r="B85" t="s">
        <v>4</v>
      </c>
      <c r="C85" t="s">
        <v>23</v>
      </c>
      <c r="D85" t="s">
        <v>27</v>
      </c>
      <c r="E85" s="17">
        <v>9</v>
      </c>
      <c r="F85" t="s">
        <v>211</v>
      </c>
      <c r="G85" t="s">
        <v>233</v>
      </c>
      <c r="H85" t="s">
        <v>233</v>
      </c>
      <c r="I85" t="s">
        <v>233</v>
      </c>
      <c r="J85" t="s">
        <v>234</v>
      </c>
      <c r="K85" t="s">
        <v>234</v>
      </c>
      <c r="L85" t="s">
        <v>234</v>
      </c>
      <c r="M85" s="14">
        <v>43151</v>
      </c>
      <c r="N85" s="14" t="str">
        <f t="shared" si="1"/>
        <v>2018</v>
      </c>
      <c r="O85" s="6" t="s">
        <v>65</v>
      </c>
      <c r="P85" s="7"/>
      <c r="Q85" s="7"/>
      <c r="R85" s="7"/>
      <c r="S85" s="7"/>
      <c r="T85" s="8"/>
      <c r="U85" s="4">
        <f>COUNTIFS(   C4:C451,"Ingeniería Civil ")</f>
        <v>12</v>
      </c>
      <c r="V85" s="4">
        <f>COUNTIFS(   C4:C451,"Ingeniería Civil ",F4:F451,"Hombre")</f>
        <v>8</v>
      </c>
      <c r="W85" s="4">
        <f>COUNTIFS(   C4:C451,"Ingeniería Civil ",F4:F451,"Mujer")</f>
        <v>4</v>
      </c>
      <c r="X85" s="28">
        <f>COUNTIFS(   A4:A451,"2013", C4:C451,"Ingeniería Civil ")</f>
        <v>0</v>
      </c>
      <c r="Y85" s="4">
        <f>COUNTIFS(   A4:A451,"2014", C4:C451,"Ingeniería Civil ")</f>
        <v>0</v>
      </c>
      <c r="Z85" s="4">
        <f>COUNTIFS(   A4:A451,"2015", C4:C451,"Ingeniería Civil ")</f>
        <v>2</v>
      </c>
      <c r="AA85" s="4">
        <f>COUNTIFS(   A4:A451,"2016", C4:C451,"Ingeniería Civil ")</f>
        <v>8</v>
      </c>
      <c r="AB85" s="4">
        <f>COUNTIFS(   A4:A451,"2017", C4:C451,"Ingeniería Civil ")</f>
        <v>2</v>
      </c>
      <c r="AC85" s="28">
        <f>COUNTIFS(   N4:N451,"2014", C4:C451,"Ingeniería Civil ")</f>
        <v>0</v>
      </c>
      <c r="AD85" s="4">
        <f>COUNTIFS(   N4:N451,"2015", C4:C451,"Ingeniería Civil ")</f>
        <v>1</v>
      </c>
      <c r="AE85" s="4">
        <f>COUNTIFS(   N4:N451,"2016", C4:C451,"Ingeniería Civil ")</f>
        <v>3</v>
      </c>
      <c r="AF85" s="4">
        <f>COUNTIFS(   N4:N451,"2017", C4:C451,"Ingeniería Civil ")</f>
        <v>7</v>
      </c>
      <c r="AG85" s="4">
        <f>COUNTIFS(   N4:N451,"2018", C4:C451,"Ingeniería Civil ")</f>
        <v>1</v>
      </c>
      <c r="AH85" s="4">
        <f>COUNTIFS(   C4:C451,"Ingeniería Civil ",G4:G451,"Sí")</f>
        <v>1</v>
      </c>
      <c r="AI85" s="4">
        <f>COUNTIFS(   C4:C451,"Ingeniería Civil ",G4:G451,"No")</f>
        <v>11</v>
      </c>
      <c r="AJ85" s="4">
        <f>SUMIFS( E4:E451, C4:C451,"Ingeniería Civil ",G4:G451,"Sí")</f>
        <v>5</v>
      </c>
      <c r="AK85" s="4">
        <f>SUMIFS( E4:E451, C4:C451,"Ingeniería Civil ",G4:G451,"No")</f>
        <v>53</v>
      </c>
      <c r="AL85" s="4">
        <f>COUNTIFS(   C4:C451,"Ingeniería Civil ",H4:H451,"Sí")</f>
        <v>4</v>
      </c>
      <c r="AM85" s="4">
        <f>COUNTIFS(   C4:C451,"Ingeniería Civil ",I4:I451,"Sí")</f>
        <v>4</v>
      </c>
      <c r="AN85" s="4">
        <f>COUNTIFS(   C4:C451,"Ingeniería Civil ",I4:I451,"No")</f>
        <v>8</v>
      </c>
      <c r="AO85" s="4">
        <f>SUMIFS( E4:E451, C4:C451,"Ingeniería Civil ",I4:I451,"Sí")</f>
        <v>20</v>
      </c>
      <c r="AP85" s="4">
        <f>SUMIFS( E4:E451, C4:C451,"Ingeniería Civil ",I4:I451,"No")</f>
        <v>38</v>
      </c>
      <c r="AQ85" s="4">
        <f>COUNTIFS(   C4:C451,"Ingeniería Civil ",J4:J451,"Sí")</f>
        <v>10</v>
      </c>
      <c r="AR85" s="4">
        <f>COUNTIFS(   C4:C451,"Ingeniería Civil ",K4:K451,"Sí")</f>
        <v>3</v>
      </c>
      <c r="AS85" s="4">
        <f>COUNTIFS(   C4:C451,"Ingeniería Civil ",L4:L451,"Sí")</f>
        <v>12</v>
      </c>
      <c r="AT85" s="4">
        <f>SUMIFS( E4:E451, C4:C451,"Ingeniería Civil ")</f>
        <v>58</v>
      </c>
      <c r="AU85" s="4">
        <f>SUMIFS( E4:E451, F4:F451,"Hombre", C4:C451,"Ingeniería Civil ")</f>
        <v>47</v>
      </c>
      <c r="AV85" s="4">
        <f>SUMIFS( E4:E451, F4:F451,"Mujer", C4:C451,"Ingeniería Civil ")</f>
        <v>11</v>
      </c>
      <c r="AW85" s="28">
        <f>SUMIFS( E4:E451, A4:A451,"2013", C4:C451,"Ingeniería Civil ")</f>
        <v>0</v>
      </c>
      <c r="AX85" s="4">
        <f>SUMIFS( E4:E451, A4:A451,"2014", C4:C451,"Ingeniería Civil ")</f>
        <v>0</v>
      </c>
      <c r="AY85" s="4">
        <f>SUMIFS( E4:E451, A4:A451,"2015", C4:C451,"Ingeniería Civil ")</f>
        <v>7</v>
      </c>
      <c r="AZ85" s="4">
        <f>SUMIFS( E4:E451, A4:A451,"2016", C4:C451,"Ingeniería Civil ")</f>
        <v>41</v>
      </c>
      <c r="BA85" s="4">
        <f>SUMIFS( E4:E451, A4:A451,"2017", C4:C451,"Ingeniería Civil ")</f>
        <v>10</v>
      </c>
      <c r="BB85" s="28">
        <f>SUMIFS( E4:E451, N4:N451,"2014", C4:C451,"Ingeniería Civil ")</f>
        <v>0</v>
      </c>
      <c r="BC85" s="4">
        <f>SUMIFS( E4:E451, N4:N451,"2015", C4:C451,"Ingeniería Civil ")</f>
        <v>5</v>
      </c>
      <c r="BD85" s="4">
        <f>SUMIFS( E4:E451, N4:N451,"2016", C4:C451,"Ingeniería Civil ")</f>
        <v>10</v>
      </c>
      <c r="BE85" s="4">
        <f>SUMIFS( E4:E451, N4:N451,"2017", C4:C451,"Ingeniería Civil ")</f>
        <v>43</v>
      </c>
      <c r="BF85" s="4">
        <f>SUMIFS( E4:E451, N4:N451,"2018", C4:C451,"Ingeniería Civil ")</f>
        <v>0</v>
      </c>
      <c r="BG85" s="22">
        <f>AVERAGEIFS( E4:E451, C4:C451,"Ingeniería Civil ")</f>
        <v>4.833333333333333</v>
      </c>
      <c r="BH85" s="22">
        <v>0</v>
      </c>
      <c r="BI85" s="22">
        <v>0</v>
      </c>
      <c r="BJ85" s="22">
        <f>AVERAGEIFS( E4:E451, A4:A451,"2015", C4:C451,"Ingeniería Civil ")</f>
        <v>3.5</v>
      </c>
      <c r="BK85" s="22">
        <f>AVERAGEIFS( E4:E451, A4:A451,"2016", C4:C451,"Ingeniería Civil ")</f>
        <v>5.125</v>
      </c>
      <c r="BL85" s="22">
        <f>AVERAGEIFS( E4:E451, A4:A451,"2017", C4:C451,"Ingeniería Civil ")</f>
        <v>5</v>
      </c>
      <c r="BM85" s="22">
        <f>AVERAGE(AT86:AT91)</f>
        <v>9.6666666666666661</v>
      </c>
      <c r="BN85" s="22">
        <v>0</v>
      </c>
      <c r="BO85" s="22">
        <v>0</v>
      </c>
      <c r="BP85" s="22">
        <f>AVERAGE(AY86:AY91)</f>
        <v>1.1666666666666667</v>
      </c>
      <c r="BQ85" s="22">
        <f>AVERAGE(AZ86:AZ91)</f>
        <v>6.833333333333333</v>
      </c>
      <c r="BR85" s="22">
        <f>AVERAGE(BA86:BA91)</f>
        <v>1.6666666666666667</v>
      </c>
    </row>
    <row r="86" spans="1:70" ht="15" customHeight="1" x14ac:dyDescent="0.25">
      <c r="A86">
        <v>2017</v>
      </c>
      <c r="B86" t="s">
        <v>4</v>
      </c>
      <c r="C86" t="s">
        <v>23</v>
      </c>
      <c r="D86" t="s">
        <v>27</v>
      </c>
      <c r="E86">
        <v>7</v>
      </c>
      <c r="F86" t="s">
        <v>215</v>
      </c>
      <c r="G86" t="s">
        <v>233</v>
      </c>
      <c r="H86" t="s">
        <v>233</v>
      </c>
      <c r="I86" t="s">
        <v>233</v>
      </c>
      <c r="J86" t="s">
        <v>234</v>
      </c>
      <c r="K86" t="s">
        <v>234</v>
      </c>
      <c r="L86" t="s">
        <v>234</v>
      </c>
      <c r="M86" s="14">
        <v>43126</v>
      </c>
      <c r="N86" s="14" t="str">
        <f t="shared" si="1"/>
        <v>2018</v>
      </c>
      <c r="O86" s="55" t="s">
        <v>118</v>
      </c>
      <c r="P86" s="56"/>
      <c r="Q86" s="56"/>
      <c r="R86" s="56"/>
      <c r="S86" s="56"/>
      <c r="T86" s="57"/>
      <c r="U86" s="5">
        <f>COUNTIFS(   D4:D451,"Dinámica de Estructuras e Ingeniería Sísmica")</f>
        <v>1</v>
      </c>
      <c r="V86" s="5">
        <f>COUNTIFS(   D4:D451,"Dinámica de Estructuras e Ingeniería Sísmica",F4:F451,"Hombre")</f>
        <v>0</v>
      </c>
      <c r="W86" s="5">
        <f>COUNTIFS(   D4:D451,"Dinámica de Estructuras e Ingeniería Sísmica",F4:F451,"Mujer")</f>
        <v>1</v>
      </c>
      <c r="X86" s="29">
        <f>COUNTIFS(   A4:A451,"2013", D4:D451,"Dinámica de Estructuras e Ingeniería Sísmica")</f>
        <v>0</v>
      </c>
      <c r="Y86" s="5">
        <f>COUNTIFS(   A4:A451,"2014", D4:D451,"Dinámica de Estructuras e Ingeniería Sísmica")</f>
        <v>0</v>
      </c>
      <c r="Z86" s="5">
        <f>COUNTIFS(   A4:A451,"2015", D4:D451,"Dinámica de Estructuras e Ingeniería Sísmica")</f>
        <v>0</v>
      </c>
      <c r="AA86" s="5">
        <f>COUNTIFS(   A4:A451,"2016", D4:D451,"Dinámica de Estructuras e Ingeniería Sísmica")</f>
        <v>1</v>
      </c>
      <c r="AB86" s="5">
        <f>COUNTIFS(   A4:A451,"2017", D4:D451,"Dinámica de Estructuras e Ingeniería Sísmica")</f>
        <v>0</v>
      </c>
      <c r="AC86" s="29">
        <f>COUNTIFS(   N4:N451,"2014", D4:D451,"Dinámica de Estructuras e Ingeniería Sísmica")</f>
        <v>0</v>
      </c>
      <c r="AD86" s="5">
        <f>COUNTIFS(   N4:N451,"2015", D4:D451,"Dinámica de Estructuras e Ingeniería Sísmica")</f>
        <v>0</v>
      </c>
      <c r="AE86" s="5">
        <f>COUNTIFS(   N4:N451,"2016", D4:D451,"Dinámica de Estructuras e Ingeniería Sísmica")</f>
        <v>0</v>
      </c>
      <c r="AF86" s="5">
        <f>COUNTIFS(   N4:N451,"2017", D4:D451,"Dinámica de Estructuras e Ingeniería Sísmica")</f>
        <v>1</v>
      </c>
      <c r="AG86" s="5">
        <f>COUNTIFS(   N4:N451,"2018", D4:D451,"Dinámica de Estructuras e Ingeniería Sísmica")</f>
        <v>0</v>
      </c>
      <c r="AH86" s="5">
        <f>COUNTIFS(   D4:D451,"Dinámica de Estructuras e Ingeniería Sísmica",G4:G451,"Sí")</f>
        <v>0</v>
      </c>
      <c r="AI86" s="5">
        <f>COUNTIFS(   D4:D451,"Dinámica de Estructuras e Ingeniería Nosmica",G4:G451,"No")</f>
        <v>0</v>
      </c>
      <c r="AJ86" s="5">
        <f>SUMIFS( E4:E451, D4:D451,"Dinámica de Estructuras e Ingeniería Sísmica",G4:G451,"Sí")</f>
        <v>0</v>
      </c>
      <c r="AK86" s="5">
        <f>SUMIFS( E4:E451, D4:D451,"Dinámica de Estructuras e Ingeniería Nosmica",G4:G451,"No")</f>
        <v>0</v>
      </c>
      <c r="AL86" s="5">
        <f>COUNTIFS(   D4:D451,"Dinámica de Estructuras e Ingeniería Sísmica",H4:H451,"Sí")</f>
        <v>0</v>
      </c>
      <c r="AM86" s="5">
        <f>COUNTIFS(   D4:D451,"Dinámica de Estructuras e Ingeniería Sísmica",I4:I451,"Sí")</f>
        <v>0</v>
      </c>
      <c r="AN86" s="5">
        <f>COUNTIFS(   D4:D451,"Dinámica de Estructuras e Ingeniería Nosmica",I4:I451,"No")</f>
        <v>0</v>
      </c>
      <c r="AO86" s="5">
        <f>SUMIFS( E4:E451, D4:D451,"Dinámica de Estructuras e Ingeniería Sísmica",I4:I451,"Sí")</f>
        <v>0</v>
      </c>
      <c r="AP86" s="5">
        <f>SUMIFS( E4:E451, D4:D451,"Dinámica de Estructuras e Ingeniería Nosmica",I4:I451,"No")</f>
        <v>0</v>
      </c>
      <c r="AQ86" s="5">
        <f>COUNTIFS(   D4:D451,"Dinámica de Estructuras e Ingeniería Sísmica",J4:J451,"Sí")</f>
        <v>1</v>
      </c>
      <c r="AR86" s="5">
        <f>COUNTIFS(   D4:D451,"Dinámica de Estructuras e Ingeniería Sísmica",K4:K451,"Sí")</f>
        <v>0</v>
      </c>
      <c r="AS86" s="5">
        <f>COUNTIFS(   D4:D451,"Dinámica de Estructuras e Ingeniería Sísmica",L4:L451,"Sí")</f>
        <v>1</v>
      </c>
      <c r="AT86" s="5">
        <f>SUMIFS( E4:E451, D4:D451,"Dinámica de Estructuras e Ingeniería Sísmica")</f>
        <v>1</v>
      </c>
      <c r="AU86" s="5">
        <f>SUMIFS( E4:E451, F4:F451,"Hombre", D4:D451,"Dinámica de Estructuras e Ingeniería Sísmica")</f>
        <v>0</v>
      </c>
      <c r="AV86" s="5">
        <f>SUMIFS( E4:E451, F4:F451,"Mujer", D4:D451,"Dinámica de Estructuras e Ingeniería Sísmica")</f>
        <v>1</v>
      </c>
      <c r="AW86" s="29">
        <f>SUMIFS( E4:E451, A4:A451,"2013", D4:D451,"Dinámica de Estructuras e Ingeniería Sísmica")</f>
        <v>0</v>
      </c>
      <c r="AX86" s="5">
        <f>SUMIFS( E4:E451, A4:A451,"2014", D4:D451,"Dinámica de Estructuras e Ingeniería Sísmica")</f>
        <v>0</v>
      </c>
      <c r="AY86" s="5">
        <f>SUMIFS( E4:E451, A4:A451,"2015", D4:D451,"Dinámica de Estructuras e Ingeniería Sísmica")</f>
        <v>0</v>
      </c>
      <c r="AZ86" s="5">
        <f>SUMIFS( E4:E451, A4:A451,"2016", D4:D451,"Dinámica de Estructuras e Ingeniería Sísmica")</f>
        <v>1</v>
      </c>
      <c r="BA86" s="5">
        <f>SUMIFS( E4:E451, A4:A451,"2017", D4:D451,"Dinámica de Estructuras e Ingeniería Sísmica")</f>
        <v>0</v>
      </c>
      <c r="BB86" s="29">
        <f>SUMIFS( E4:E451, N4:N451,"2014", D4:D451,"Dinámica de Estructuras e Ingeniería Sísmica")</f>
        <v>0</v>
      </c>
      <c r="BC86" s="5">
        <f>SUMIFS( E4:E451, N4:N451,"2015", D4:D451,"Dinámica de Estructuras e Ingeniería Sísmica")</f>
        <v>0</v>
      </c>
      <c r="BD86" s="5">
        <f>SUMIFS( E4:E451, N4:N451,"2016", D4:D451,"Dinámica de Estructuras e Ingeniería Sísmica")</f>
        <v>0</v>
      </c>
      <c r="BE86" s="5">
        <f>SUMIFS( E4:E451, N4:N451,"2017", D4:D451,"Dinámica de Estructuras e Ingeniería Sísmica")</f>
        <v>1</v>
      </c>
      <c r="BF86" s="5">
        <f>SUMIFS( E4:E451, N4:N451,"2018", D4:D451,"Dinámica de Estructuras e Ingeniería Sísmica")</f>
        <v>0</v>
      </c>
      <c r="BG86" s="23">
        <f>AVERAGEIFS( E4:E451, D4:D451,"Dinámica de Estructuras e Ingeniería Sísmica")</f>
        <v>1</v>
      </c>
      <c r="BH86" s="23">
        <v>0</v>
      </c>
      <c r="BI86" s="23">
        <v>0</v>
      </c>
      <c r="BJ86" s="23">
        <v>0</v>
      </c>
      <c r="BK86" s="23">
        <f>AVERAGEIFS( E4:E451, A4:A451,"2016", D4:D451,"Dinámica de Estructuras e Ingeniería Sísmica")</f>
        <v>1</v>
      </c>
      <c r="BL86" s="23">
        <v>0</v>
      </c>
      <c r="BM86" s="23">
        <v>1</v>
      </c>
      <c r="BN86" s="23">
        <v>0</v>
      </c>
      <c r="BO86" s="23">
        <v>0</v>
      </c>
      <c r="BP86" s="23">
        <v>0</v>
      </c>
      <c r="BQ86" s="23">
        <v>1</v>
      </c>
      <c r="BR86" s="23">
        <v>0</v>
      </c>
    </row>
    <row r="87" spans="1:70" ht="15" customHeight="1" x14ac:dyDescent="0.25">
      <c r="A87">
        <v>2017</v>
      </c>
      <c r="B87" t="s">
        <v>4</v>
      </c>
      <c r="C87" t="s">
        <v>23</v>
      </c>
      <c r="D87" t="s">
        <v>28</v>
      </c>
      <c r="E87">
        <v>22</v>
      </c>
      <c r="F87" t="s">
        <v>215</v>
      </c>
      <c r="G87" t="s">
        <v>233</v>
      </c>
      <c r="H87" t="s">
        <v>233</v>
      </c>
      <c r="I87" t="s">
        <v>234</v>
      </c>
      <c r="J87" t="s">
        <v>234</v>
      </c>
      <c r="K87" t="s">
        <v>234</v>
      </c>
      <c r="L87" t="s">
        <v>234</v>
      </c>
      <c r="M87" s="14">
        <v>43084</v>
      </c>
      <c r="N87" s="14" t="str">
        <f t="shared" si="1"/>
        <v>2017</v>
      </c>
      <c r="O87" s="55" t="s">
        <v>117</v>
      </c>
      <c r="P87" s="56"/>
      <c r="Q87" s="56"/>
      <c r="R87" s="56"/>
      <c r="S87" s="56"/>
      <c r="T87" s="57"/>
      <c r="U87" s="5">
        <f>COUNTIFS(   D4:D451,"Hormigón y Acero Estructural")</f>
        <v>2</v>
      </c>
      <c r="V87" s="5">
        <f>COUNTIFS(   D4:D451,"Hormigón y Acero Estructural",F4:F451,"Hombre")</f>
        <v>2</v>
      </c>
      <c r="W87" s="5">
        <f>COUNTIFS(   D4:D451,"Hormigón y Acero Estructural",F4:F451,"Mujer")</f>
        <v>0</v>
      </c>
      <c r="X87" s="29">
        <f>COUNTIFS(   A4:A451,"2013", D4:D451,"Hormigón y Acero Estructural")</f>
        <v>0</v>
      </c>
      <c r="Y87" s="5">
        <f>COUNTIFS(   A4:A451,"2014", D4:D451,"Hormigón y Acero Estructural")</f>
        <v>0</v>
      </c>
      <c r="Z87" s="5">
        <f>COUNTIFS(   A4:A451,"2015", D4:D451,"Hormigón y Acero Estructural")</f>
        <v>1</v>
      </c>
      <c r="AA87" s="5">
        <f>COUNTIFS(   A4:A451,"2016", D4:D451,"Hormigón y Acero Estructural")</f>
        <v>1</v>
      </c>
      <c r="AB87" s="5">
        <f>COUNTIFS(   A4:A451,"2017", D4:D451,"Hormigón y Acero Estructural")</f>
        <v>0</v>
      </c>
      <c r="AC87" s="29">
        <f>COUNTIFS(   N4:N451,"2014", D4:D451,"Hormigón y Acero Estructural")</f>
        <v>0</v>
      </c>
      <c r="AD87" s="5">
        <f>COUNTIFS(   N4:N451,"2015", D4:D451,"Hormigón y Acero Estructural")</f>
        <v>0</v>
      </c>
      <c r="AE87" s="5">
        <f>COUNTIFS(   N4:N451,"2016", D4:D451,"Hormigón y Acero Estructural")</f>
        <v>1</v>
      </c>
      <c r="AF87" s="5">
        <f>COUNTIFS(   N4:N451,"2017", D4:D451,"Hormigón y Acero Estructural")</f>
        <v>1</v>
      </c>
      <c r="AG87" s="5">
        <f>COUNTIFS(   N4:N451,"2018", D4:D451,"Hormigón y Acero Estructural")</f>
        <v>0</v>
      </c>
      <c r="AH87" s="5">
        <f>COUNTIFS(   D4:D451,"Hormigón y Acero Estructural",G4:G451,"Sí")</f>
        <v>0</v>
      </c>
      <c r="AI87" s="5">
        <f>COUNTIFS(   D4:D451,"Hormigón y Acero Estructural",G4:G451,"No")</f>
        <v>2</v>
      </c>
      <c r="AJ87" s="5">
        <f>SUMIFS( E4:E451, D4:D451,"Hormigón y Acero Estructural",G4:G451,"Sí")</f>
        <v>0</v>
      </c>
      <c r="AK87" s="5">
        <f>SUMIFS( E4:E451, D4:D451,"Hormigón y Acero Estructural",G4:G451,"No")</f>
        <v>17</v>
      </c>
      <c r="AL87" s="5">
        <f>COUNTIFS(   D4:D451,"Hormigón y Acero Estructural",H4:H451,"Sí")</f>
        <v>1</v>
      </c>
      <c r="AM87" s="5">
        <f>COUNTIFS(   D4:D451,"Hormigón y Acero Estructural",I4:I451,"Sí")</f>
        <v>0</v>
      </c>
      <c r="AN87" s="5">
        <f>COUNTIFS(   D4:D451,"Hormigón y Acero Estructural",I4:I451,"No")</f>
        <v>2</v>
      </c>
      <c r="AO87" s="5">
        <f>SUMIFS( E4:E451, D4:D451,"Hormigón y Acero Estructural",I4:I451,"Sí")</f>
        <v>0</v>
      </c>
      <c r="AP87" s="5">
        <f>SUMIFS( E4:E451, D4:D451,"Hormigón y Acero Estructural",I4:I451,"No")</f>
        <v>17</v>
      </c>
      <c r="AQ87" s="5">
        <f>COUNTIFS(   D4:D451,"Hormigón y Acero Estructural",J4:J451,"Sí")</f>
        <v>2</v>
      </c>
      <c r="AR87" s="5">
        <f>COUNTIFS(   D4:D451,"Hormigón y Acero Estructural",K4:K451,"Sí")</f>
        <v>0</v>
      </c>
      <c r="AS87" s="5">
        <f>COUNTIFS(   D4:D451,"Hormigón y Acero Estructural",L4:L451,"Sí")</f>
        <v>2</v>
      </c>
      <c r="AT87" s="5">
        <f>SUMIFS( E4:E451, D4:D451,"Hormigón y Acero Estructural")</f>
        <v>17</v>
      </c>
      <c r="AU87" s="5">
        <f>SUMIFS( E4:E451, F4:F451,"Hombre", D4:D451,"Hormigón y Acero Estructural")</f>
        <v>17</v>
      </c>
      <c r="AV87" s="5">
        <f>SUMIFS( E4:E451, F4:F451,"Mujer", D4:D451,"Hormigón y Acero Estructural")</f>
        <v>0</v>
      </c>
      <c r="AW87" s="29">
        <f>SUMIFS( E4:E451, A4:A451,"2013", D4:D451,"Hormigón y Acero Estructural")</f>
        <v>0</v>
      </c>
      <c r="AX87" s="5">
        <f>SUMIFS( E4:E451, A4:A451,"2014", D4:D451,"Hormigón y Acero Estructural")</f>
        <v>0</v>
      </c>
      <c r="AY87" s="5">
        <f>SUMIFS( E4:E451, A4:A451,"2015", D4:D451,"Hormigón y Acero Estructural")</f>
        <v>2</v>
      </c>
      <c r="AZ87" s="5">
        <f>SUMIFS( E4:E451, A4:A451,"2016", D4:D451,"Hormigón y Acero Estructural")</f>
        <v>15</v>
      </c>
      <c r="BA87" s="5">
        <f>SUMIFS( E4:E451, A4:A451,"2017", D4:D451,"Hormigón y Acero Estructural")</f>
        <v>0</v>
      </c>
      <c r="BB87" s="29">
        <f>SUMIFS( E4:E451, N4:N451,"2014", D4:D451,"Hormigón y Acero Estructural")</f>
        <v>0</v>
      </c>
      <c r="BC87" s="5">
        <f>SUMIFS( E4:E451, N4:N451,"2015", D4:D451,"Hormigón y Acero Estructural")</f>
        <v>0</v>
      </c>
      <c r="BD87" s="5">
        <f>SUMIFS( E4:E451, N4:N451,"2016", D4:D451,"Hormigón y Acero Estructural")</f>
        <v>2</v>
      </c>
      <c r="BE87" s="5">
        <f>SUMIFS( E4:E451, N4:N451,"2017", D4:D451,"Hormigón y Acero Estructural")</f>
        <v>15</v>
      </c>
      <c r="BF87" s="5">
        <f>SUMIFS( E4:E451, N4:N451,"2018", D4:D451,"Hormigón y Acero Estructural")</f>
        <v>0</v>
      </c>
      <c r="BG87" s="23">
        <f>AVERAGEIFS( E4:E451, D4:D451,"Hormigón y Acero Estructural")</f>
        <v>8.5</v>
      </c>
      <c r="BH87" s="23">
        <v>0</v>
      </c>
      <c r="BI87" s="23">
        <v>0</v>
      </c>
      <c r="BJ87" s="23">
        <f>AVERAGEIFS( E4:E451, A4:A451,"2015", D4:D451,"Hormigón y Acero Estructural")</f>
        <v>2</v>
      </c>
      <c r="BK87" s="23">
        <f>AVERAGEIFS( E4:E451, A4:A451,"2016", D4:D451,"Hormigón y Acero Estructural")</f>
        <v>15</v>
      </c>
      <c r="BL87" s="23">
        <v>0</v>
      </c>
      <c r="BM87" s="23">
        <v>8.5</v>
      </c>
      <c r="BN87" s="23">
        <v>0</v>
      </c>
      <c r="BO87" s="23">
        <v>0</v>
      </c>
      <c r="BP87" s="23">
        <v>2</v>
      </c>
      <c r="BQ87" s="23">
        <v>15</v>
      </c>
      <c r="BR87" s="23">
        <v>0</v>
      </c>
    </row>
    <row r="88" spans="1:70" ht="15" customHeight="1" x14ac:dyDescent="0.25">
      <c r="A88">
        <v>2017</v>
      </c>
      <c r="B88" t="s">
        <v>4</v>
      </c>
      <c r="C88" t="s">
        <v>23</v>
      </c>
      <c r="D88" t="s">
        <v>27</v>
      </c>
      <c r="E88">
        <v>19</v>
      </c>
      <c r="F88" t="s">
        <v>211</v>
      </c>
      <c r="G88" t="s">
        <v>233</v>
      </c>
      <c r="H88" t="s">
        <v>233</v>
      </c>
      <c r="I88" t="s">
        <v>233</v>
      </c>
      <c r="J88" t="s">
        <v>234</v>
      </c>
      <c r="K88" t="s">
        <v>234</v>
      </c>
      <c r="L88" t="s">
        <v>234</v>
      </c>
      <c r="M88" s="14">
        <v>43082</v>
      </c>
      <c r="N88" s="14" t="str">
        <f t="shared" si="1"/>
        <v>2017</v>
      </c>
      <c r="O88" s="55" t="s">
        <v>115</v>
      </c>
      <c r="P88" s="56"/>
      <c r="Q88" s="56"/>
      <c r="R88" s="56"/>
      <c r="S88" s="56"/>
      <c r="T88" s="57"/>
      <c r="U88" s="5">
        <f>COUNTIFS(   D4:D451,"Ingeniería de la Construcción y del Terreno")</f>
        <v>2</v>
      </c>
      <c r="V88" s="5">
        <f>COUNTIFS(   D4:D451,"Ingeniería de la Construcción y del Terreno",F4:F451,"Hombre")</f>
        <v>2</v>
      </c>
      <c r="W88" s="5">
        <f>COUNTIFS(   D4:D451,"Ingeniería de la Construcción y del Terreno",F4:F451,"Mujer")</f>
        <v>0</v>
      </c>
      <c r="X88" s="29">
        <f>COUNTIFS(   A4:A451,"2013", D4:D451,"Ingeniería de la Construcción y del Terreno")</f>
        <v>0</v>
      </c>
      <c r="Y88" s="5">
        <f>COUNTIFS(   A4:A451,"2014", D4:D451,"Ingeniería de la Construcción y del Terreno")</f>
        <v>0</v>
      </c>
      <c r="Z88" s="5">
        <f>COUNTIFS(   A4:A451,"2015", D4:D451,"Ingeniería de la Construcción y del Terreno")</f>
        <v>0</v>
      </c>
      <c r="AA88" s="5">
        <f>COUNTIFS(   A4:A451,"2016", D4:D451,"Ingeniería de la Construcción y del Terreno")</f>
        <v>1</v>
      </c>
      <c r="AB88" s="5">
        <f>COUNTIFS(   A4:A451,"2017", D4:D451,"Ingeniería de la Construcción y del Terreno")</f>
        <v>1</v>
      </c>
      <c r="AC88" s="29">
        <f>COUNTIFS(   N4:N451,"2014", D4:D451,"Ingeniería de la Construcción y del Terreno")</f>
        <v>0</v>
      </c>
      <c r="AD88" s="5">
        <f>COUNTIFS(   N4:N451,"2015", D4:D451,"Ingeniería de la Construcción y del Terreno")</f>
        <v>0</v>
      </c>
      <c r="AE88" s="5">
        <f>COUNTIFS(   N4:N451,"2016", D4:D451,"Ingeniería de la Construcción y del Terreno")</f>
        <v>0</v>
      </c>
      <c r="AF88" s="5">
        <f>COUNTIFS(   N4:N451,"2017", D4:D451,"Ingeniería de la Construcción y del Terreno")</f>
        <v>2</v>
      </c>
      <c r="AG88" s="5">
        <f>COUNTIFS(   N4:N451,"2018", D4:D451,"Ingeniería de la Construcción y del Terreno")</f>
        <v>0</v>
      </c>
      <c r="AH88" s="5">
        <f>COUNTIFS(   D4:D451,"Ingeniería de la Construcción y del Terreno",G4:G451,"Sí")</f>
        <v>0</v>
      </c>
      <c r="AI88" s="5">
        <f>COUNTIFS(   D4:D451,"Ingeniería de la Construcción y del Terreno",G4:G451,"No")</f>
        <v>2</v>
      </c>
      <c r="AJ88" s="5">
        <f>SUMIFS( E4:E451, D4:D451,"Ingeniería de la Construcción y del Terreno",G4:G451,"Sí")</f>
        <v>0</v>
      </c>
      <c r="AK88" s="5">
        <f>SUMIFS( E4:E451, D4:D451,"Ingeniería de la Construcción y del Terreno",G4:G451,"No")</f>
        <v>15</v>
      </c>
      <c r="AL88" s="5">
        <f>COUNTIFS(   D4:D451,"Ingeniería de la Construcción y del Terreno",H4:H451,"Sí")</f>
        <v>0</v>
      </c>
      <c r="AM88" s="5">
        <f>COUNTIFS(   D4:D451,"Ingeniería de la Construcción y del Terreno",I4:I451,"Sí")</f>
        <v>1</v>
      </c>
      <c r="AN88" s="5">
        <f>COUNTIFS(   D4:D451,"Ingeniería de la Construcción y del Terreno",I4:I451,"No")</f>
        <v>1</v>
      </c>
      <c r="AO88" s="5">
        <f>SUMIFS( E4:E451, D4:D451,"Ingeniería de la Construcción y del Terreno",I4:I451,"Sí")</f>
        <v>5</v>
      </c>
      <c r="AP88" s="5">
        <f>SUMIFS( E4:E451, D4:D451,"Ingeniería de la Construcción y del Terreno",I4:I451,"No")</f>
        <v>10</v>
      </c>
      <c r="AQ88" s="5">
        <f>COUNTIFS(   D4:D451,"Ingeniería de la Construcción y del Terreno",J4:J451,"Sí")</f>
        <v>2</v>
      </c>
      <c r="AR88" s="5">
        <f>COUNTIFS(   D4:D451,"Ingeniería de la Construcción y del Terreno",K4:K451,"Sí")</f>
        <v>1</v>
      </c>
      <c r="AS88" s="5">
        <f>COUNTIFS(   D4:D451,"Ingeniería de la Construcción y del Terreno",L4:L451,"Sí")</f>
        <v>2</v>
      </c>
      <c r="AT88" s="5">
        <f>SUMIFS( E4:E451, D4:D451,"Ingeniería de la Construcción y del Terreno")</f>
        <v>15</v>
      </c>
      <c r="AU88" s="5">
        <f>SUMIFS( E4:E451, F4:F451,"Hombre", D4:D451,"Ingeniería de la Construcción y del Terreno")</f>
        <v>15</v>
      </c>
      <c r="AV88" s="5">
        <f>SUMIFS( E4:E451, F4:F451,"Mujer", D4:D451,"Ingeniería de la Construcción y del Terreno")</f>
        <v>0</v>
      </c>
      <c r="AW88" s="29">
        <f>SUMIFS( E4:E451, A4:A451,"2013", D4:D451,"Ingeniería de la Construcción y del Terreno")</f>
        <v>0</v>
      </c>
      <c r="AX88" s="5">
        <f>SUMIFS( E4:E451, A4:A451,"2014", D4:D451,"Ingeniería de la Construcción y del Terreno")</f>
        <v>0</v>
      </c>
      <c r="AY88" s="5">
        <f>SUMIFS( E4:E451, A4:A451,"2015", D4:D451,"Ingeniería de la Construcción y del Terreno")</f>
        <v>0</v>
      </c>
      <c r="AZ88" s="5">
        <f>SUMIFS( E4:E451, A4:A451,"2016", D4:D451,"Ingeniería de la Construcción y del Terreno")</f>
        <v>5</v>
      </c>
      <c r="BA88" s="5">
        <f>SUMIFS( E4:E451, A4:A451,"2017", D4:D451,"Ingeniería de la Construcción y del Terreno")</f>
        <v>10</v>
      </c>
      <c r="BB88" s="29">
        <f>SUMIFS( E4:E451, N4:N451,"2014", D4:D451,"Ingeniería de la Construcción y del Terreno")</f>
        <v>0</v>
      </c>
      <c r="BC88" s="5">
        <f>SUMIFS( E4:E451, N4:N451,"2015", D4:D451,"Ingeniería de la Construcción y del Terreno")</f>
        <v>0</v>
      </c>
      <c r="BD88" s="5">
        <f>SUMIFS( E4:E451, N4:N451,"2016", D4:D451,"Ingeniería de la Construcción y del Terreno")</f>
        <v>0</v>
      </c>
      <c r="BE88" s="5">
        <f>SUMIFS( E4:E451, N4:N451,"2017", D4:D451,"Ingeniería de la Construcción y del Terreno")</f>
        <v>15</v>
      </c>
      <c r="BF88" s="5">
        <f>SUMIFS( E4:E451, N4:N451,"2018", D4:D451,"Ingeniería de la Construcción y del Terreno")</f>
        <v>0</v>
      </c>
      <c r="BG88" s="23">
        <f>AVERAGEIFS( E4:E451, D4:D451,"Ingeniería de la Construcción y del Terreno")</f>
        <v>7.5</v>
      </c>
      <c r="BH88" s="23">
        <v>0</v>
      </c>
      <c r="BI88" s="23">
        <v>0</v>
      </c>
      <c r="BJ88" s="23">
        <v>0</v>
      </c>
      <c r="BK88" s="23">
        <f>AVERAGEIFS( E4:E451, A4:A451,"2016", D4:D451,"Ingeniería de la Construcción y del Terreno")</f>
        <v>5</v>
      </c>
      <c r="BL88" s="23">
        <f>AVERAGEIFS( E4:E451, A4:A451,"2017", D4:D451,"Ingeniería de la Construcción y del Terreno")</f>
        <v>10</v>
      </c>
      <c r="BM88" s="23">
        <v>7.5</v>
      </c>
      <c r="BN88" s="23">
        <v>0</v>
      </c>
      <c r="BO88" s="23">
        <v>0</v>
      </c>
      <c r="BP88" s="23">
        <v>0</v>
      </c>
      <c r="BQ88" s="23">
        <v>5</v>
      </c>
      <c r="BR88" s="23">
        <v>10</v>
      </c>
    </row>
    <row r="89" spans="1:70" ht="15" customHeight="1" x14ac:dyDescent="0.25">
      <c r="A89">
        <v>2017</v>
      </c>
      <c r="B89" t="s">
        <v>4</v>
      </c>
      <c r="C89" t="s">
        <v>23</v>
      </c>
      <c r="D89" t="s">
        <v>29</v>
      </c>
      <c r="E89">
        <v>5</v>
      </c>
      <c r="F89" t="s">
        <v>215</v>
      </c>
      <c r="G89" t="s">
        <v>233</v>
      </c>
      <c r="H89" t="s">
        <v>233</v>
      </c>
      <c r="I89" t="s">
        <v>233</v>
      </c>
      <c r="J89" t="s">
        <v>234</v>
      </c>
      <c r="K89" t="s">
        <v>234</v>
      </c>
      <c r="L89" t="s">
        <v>234</v>
      </c>
      <c r="M89" s="14">
        <v>43074</v>
      </c>
      <c r="N89" s="14" t="str">
        <f t="shared" si="1"/>
        <v>2017</v>
      </c>
      <c r="O89" s="55" t="s">
        <v>114</v>
      </c>
      <c r="P89" s="56"/>
      <c r="Q89" s="56"/>
      <c r="R89" s="56"/>
      <c r="S89" s="56"/>
      <c r="T89" s="57"/>
      <c r="U89" s="5">
        <f>COUNTIFS(   D4:D451,"Ordenación del Territorio. Evaluación y Planificación Ambiental")</f>
        <v>2</v>
      </c>
      <c r="V89" s="5">
        <f>COUNTIFS(   D4:D451,"Ordenación del Territorio. Evaluación y Planificación Ambiental",F4:F451,"Hombre")</f>
        <v>2</v>
      </c>
      <c r="W89" s="5">
        <f>COUNTIFS(   D4:D451,"Ordenación del Territorio. Evaluación y Planificación Ambiental",F4:F451,"Mujer")</f>
        <v>0</v>
      </c>
      <c r="X89" s="29">
        <f>COUNTIFS(   A4:A451,"2013", D4:D451,"Ordenación del Territorio. Evaluación y Planificación Ambiental")</f>
        <v>0</v>
      </c>
      <c r="Y89" s="5">
        <f>COUNTIFS(   A4:A451,"2014", D4:D451,"Ordenación del Territorio. Evaluación y Planificación Ambiental")</f>
        <v>0</v>
      </c>
      <c r="Z89" s="5">
        <f>COUNTIFS(   A4:A451,"2015", D4:D451,"Ordenación del Territorio. Evaluación y Planificación Ambiental")</f>
        <v>0</v>
      </c>
      <c r="AA89" s="5">
        <f>COUNTIFS(   A4:A451,"2016", D4:D451,"Ordenación del Territorio. Evaluación y Planificación Ambiental")</f>
        <v>1</v>
      </c>
      <c r="AB89" s="5">
        <f>COUNTIFS(   A4:A451,"2017", D4:D451,"Ordenación del Territorio. Evaluación y Planificación Ambiental")</f>
        <v>1</v>
      </c>
      <c r="AC89" s="29">
        <f>COUNTIFS(   N4:N451,"2014", D4:D451,"Ordenación del Territorio. Evaluación y Planificación Ambiental")</f>
        <v>0</v>
      </c>
      <c r="AD89" s="5">
        <f>COUNTIFS(   N4:N451,"2015", D4:D451,"Ordenación del Territorio. Evaluación y Planificación Ambiental")</f>
        <v>0</v>
      </c>
      <c r="AE89" s="5">
        <f>COUNTIFS(   N4:N451,"2016", D4:D451,"Ordenación del Territorio. Evaluación y Planificación Ambiental")</f>
        <v>1</v>
      </c>
      <c r="AF89" s="5">
        <f>COUNTIFS(   N4:N451,"2017", D4:D451,"Ordenación del Territorio. Evaluación y Planificación Ambiental")</f>
        <v>0</v>
      </c>
      <c r="AG89" s="5">
        <f>COUNTIFS(   N4:N451,"2018", D4:D451,"Ordenación del Territorio. Evaluación y Planificación Ambiental")</f>
        <v>1</v>
      </c>
      <c r="AH89" s="5">
        <f>COUNTIFS(   D4:D451,"Ordenación del Territorio. Evaluación y Planificación Ambiental",G4:G451,"Sí")</f>
        <v>0</v>
      </c>
      <c r="AI89" s="5">
        <f>COUNTIFS(   D4:D451,"Ordenación del Territorio. Evaluación y Planificación Ambiental",G4:G451,"No")</f>
        <v>2</v>
      </c>
      <c r="AJ89" s="5">
        <f>SUMIFS( E4:E451, D4:D451,"Ordenación del Territorio. Evaluación y Planificación Ambiental",G4:G451,"Sí")</f>
        <v>0</v>
      </c>
      <c r="AK89" s="5">
        <f>SUMIFS( E4:E451, D4:D451,"Ordenación del Territorio. Evaluación y Planificación Ambiental",G4:G451,"No")</f>
        <v>3</v>
      </c>
      <c r="AL89" s="5">
        <f>COUNTIFS(   D4:D451,"Ordenación del Territorio. Evaluación y Planificación Ambiental",H4:H451,"Sí")</f>
        <v>1</v>
      </c>
      <c r="AM89" s="5">
        <f>COUNTIFS(   D4:D451,"Ordenación del Territorio. Evaluación y Planificación Ambiental",I4:I451,"Sí")</f>
        <v>0</v>
      </c>
      <c r="AN89" s="5">
        <f>COUNTIFS(   D4:D451,"Ordenación del Territorio. Evaluación y Planificación Ambiental",I4:I451,"No")</f>
        <v>2</v>
      </c>
      <c r="AO89" s="5">
        <f>SUMIFS( E4:E451, D4:D451,"Ordenación del Territorio. Evaluación y Planificación Ambiental",I4:I451,"Sí")</f>
        <v>0</v>
      </c>
      <c r="AP89" s="5">
        <f>SUMIFS( E4:E451, D4:D451,"Ordenación del Territorio. Evaluación y Planificación Ambiental",I4:I451,"No")</f>
        <v>3</v>
      </c>
      <c r="AQ89" s="5">
        <f>COUNTIFS(   D4:D451,"Ordenación del Territorio. Evaluación y Planificación Ambiental",J4:J451,"Sí")</f>
        <v>2</v>
      </c>
      <c r="AR89" s="5">
        <f>COUNTIFS(   D4:D451,"Ordenación del Territorio. Evaluación y Planificación Ambiental",K4:K451,"Sí")</f>
        <v>0</v>
      </c>
      <c r="AS89" s="5">
        <f>COUNTIFS(   D4:D451,"Ordenación del Territorio. Evaluación y Planificación Ambiental",L4:L451,"Sí")</f>
        <v>2</v>
      </c>
      <c r="AT89" s="5">
        <f>SUMIFS( E4:E451, D4:D451,"Ordenación del Territorio. Evaluación y Planificación Ambiental")</f>
        <v>3</v>
      </c>
      <c r="AU89" s="5">
        <f>SUMIFS( E4:E451, F4:F451,"Hombre", D4:D451,"Ordenación del Territorio. Evaluación y Planificación Ambiental")</f>
        <v>3</v>
      </c>
      <c r="AV89" s="5">
        <f>SUMIFS( E4:E451, F4:F451,"Mujer", D4:D451,"Ordenación del Territorio. Evaluación y Planificación Ambiental")</f>
        <v>0</v>
      </c>
      <c r="AW89" s="29">
        <f>SUMIFS( E4:E451, A4:A451,"2013", D4:D451,"Ordenación del Territorio. Evaluación y Planificación Ambiental")</f>
        <v>0</v>
      </c>
      <c r="AX89" s="5">
        <f>SUMIFS( E4:E451, A4:A451,"2014", D4:D451,"Ordenación del Territorio. Evaluación y Planificación Ambiental")</f>
        <v>0</v>
      </c>
      <c r="AY89" s="5">
        <f>SUMIFS( E4:E451, A4:A451,"2015", D4:D451,"Ordenación del Territorio. Evaluación y Planificación Ambiental")</f>
        <v>0</v>
      </c>
      <c r="AZ89" s="5">
        <f>SUMIFS( E4:E451, A4:A451,"2016", D4:D451,"Ordenación del Territorio. Evaluación y Planificación Ambiental")</f>
        <v>3</v>
      </c>
      <c r="BA89" s="5">
        <f>SUMIFS( E4:E451, A4:A451,"2017", D4:D451,"Ordenación del Territorio. Evaluación y Planificación Ambiental")</f>
        <v>0</v>
      </c>
      <c r="BB89" s="29">
        <f>SUMIFS( E4:E451, N4:N451,"2014", D4:D451,"Ordenación del Territorio. Evaluación y Planificación Ambiental")</f>
        <v>0</v>
      </c>
      <c r="BC89" s="5">
        <f>SUMIFS( E4:E451, N4:N451,"2015", D4:D451,"Ordenación del Territorio. Evaluación y Planificación Ambiental")</f>
        <v>0</v>
      </c>
      <c r="BD89" s="5">
        <f>SUMIFS( E4:E451, N4:N451,"2016", D4:D451,"Ordenación del Territorio. Evaluación y Planificación Ambiental")</f>
        <v>3</v>
      </c>
      <c r="BE89" s="5">
        <f>SUMIFS( E4:E451, N4:N451,"2017", D4:D451,"Ordenación del Territorio. Evaluación y Planificación Ambiental")</f>
        <v>0</v>
      </c>
      <c r="BF89" s="5">
        <f>SUMIFS( E4:E451, N4:N451,"2018", D4:D451,"Ordenación del Territorio. Evaluación y Planificación Ambiental")</f>
        <v>0</v>
      </c>
      <c r="BG89" s="23">
        <f>AVERAGEIFS( E4:E451, D4:D451,"Ordenación del Territorio. Evaluación y Planificación Ambiental")</f>
        <v>1.5</v>
      </c>
      <c r="BH89" s="23">
        <v>0</v>
      </c>
      <c r="BI89" s="23">
        <v>0</v>
      </c>
      <c r="BJ89" s="23">
        <v>0</v>
      </c>
      <c r="BK89" s="23">
        <f>AVERAGEIFS( E4:E451, A4:A451,"2016", D4:D451,"Ordenación del Territorio. Evaluación y Planificación Ambiental")</f>
        <v>3</v>
      </c>
      <c r="BL89" s="23">
        <f>AVERAGEIFS( E4:E451, A4:A451,"2017", D4:D451,"Ordenación del Territorio. Evaluación y Planificación Ambiental")</f>
        <v>0</v>
      </c>
      <c r="BM89" s="23">
        <v>1.5</v>
      </c>
      <c r="BN89" s="23">
        <v>0</v>
      </c>
      <c r="BO89" s="23">
        <v>0</v>
      </c>
      <c r="BP89" s="23">
        <v>0</v>
      </c>
      <c r="BQ89" s="23">
        <v>3</v>
      </c>
      <c r="BR89" s="23">
        <v>0</v>
      </c>
    </row>
    <row r="90" spans="1:70" ht="15" customHeight="1" x14ac:dyDescent="0.25">
      <c r="A90">
        <v>2017</v>
      </c>
      <c r="B90" t="s">
        <v>4</v>
      </c>
      <c r="C90" t="s">
        <v>23</v>
      </c>
      <c r="D90" t="s">
        <v>27</v>
      </c>
      <c r="E90">
        <v>11</v>
      </c>
      <c r="F90" t="s">
        <v>215</v>
      </c>
      <c r="G90" t="s">
        <v>233</v>
      </c>
      <c r="H90" t="s">
        <v>233</v>
      </c>
      <c r="I90" t="s">
        <v>233</v>
      </c>
      <c r="J90" t="s">
        <v>234</v>
      </c>
      <c r="K90" t="s">
        <v>234</v>
      </c>
      <c r="L90" t="s">
        <v>234</v>
      </c>
      <c r="M90" s="14">
        <v>43056</v>
      </c>
      <c r="N90" s="14" t="str">
        <f t="shared" si="1"/>
        <v>2017</v>
      </c>
      <c r="O90" s="55" t="s">
        <v>119</v>
      </c>
      <c r="P90" s="56"/>
      <c r="Q90" s="56"/>
      <c r="R90" s="56"/>
      <c r="S90" s="56"/>
      <c r="T90" s="57"/>
      <c r="U90" s="5">
        <f>COUNTIFS(   D4:D451,"Transportes, Energía y Medioambiente")</f>
        <v>1</v>
      </c>
      <c r="V90" s="5">
        <f>COUNTIFS(   D4:D451,"Transportes, Energía y Medioambiente",F4:F451,"Hombre")</f>
        <v>0</v>
      </c>
      <c r="W90" s="5">
        <f>COUNTIFS(   D4:D451,"Transportes, Energía y Medioambiente",F4:F451,"Mujer")</f>
        <v>1</v>
      </c>
      <c r="X90" s="29">
        <f>COUNTIFS(   A4:A451,"2013", D4:D451,"Transportes, Energía y Medioambiente")</f>
        <v>0</v>
      </c>
      <c r="Y90" s="5">
        <f>COUNTIFS(   A4:A451,"2014", D4:D451,"Transportes, Energía y Medioambiente")</f>
        <v>0</v>
      </c>
      <c r="Z90" s="5">
        <f>COUNTIFS(   A4:A451,"2015", D4:D451,"Transportes, Energía y Medioambiente")</f>
        <v>0</v>
      </c>
      <c r="AA90" s="5">
        <f>COUNTIFS(   A4:A451,"2016", D4:D451,"Transportes, Energía y Medioambiente")</f>
        <v>1</v>
      </c>
      <c r="AB90" s="5">
        <f>COUNTIFS(   A4:A451,"2017", D4:D451,"Transportes, Energía y Medioambiente")</f>
        <v>0</v>
      </c>
      <c r="AC90" s="29">
        <f>COUNTIFS(   N4:N451,"2014", D4:D451,"Transportes, Energía y Medioambiente")</f>
        <v>0</v>
      </c>
      <c r="AD90" s="5">
        <f>COUNTIFS(   N4:N451,"2015", D4:D451,"Transportes, Energía y Medioambiente")</f>
        <v>0</v>
      </c>
      <c r="AE90" s="5">
        <f>COUNTIFS(   N4:N451,"2016", D4:D451,"Transportes, Energía y Medioambiente")</f>
        <v>0</v>
      </c>
      <c r="AF90" s="5">
        <f>COUNTIFS(   N4:N451,"2017", D4:D451,"Transportes, Energía y Medioambiente")</f>
        <v>1</v>
      </c>
      <c r="AG90" s="5">
        <f>COUNTIFS(   N4:N451,"2018", D4:D451,"Transportes, Energía y Medioambiente")</f>
        <v>0</v>
      </c>
      <c r="AH90" s="5">
        <f>COUNTIFS(   D4:D451,"Transportes, Energía y Medioambiente",G4:G451,"Sí")</f>
        <v>0</v>
      </c>
      <c r="AI90" s="5">
        <f>COUNTIFS(   D4:D451,"Transportes, Energía y Medioambiente",G4:G451,"No")</f>
        <v>1</v>
      </c>
      <c r="AJ90" s="5">
        <f>SUMIFS( E4:E451, D4:D451,"Transportes, Energía y Medioambiente",G4:G451,"Sí")</f>
        <v>0</v>
      </c>
      <c r="AK90" s="5">
        <f>SUMIFS( E4:E451, D4:D451,"Transportes, Energía y Medioambiente",G4:G451,"No")</f>
        <v>2</v>
      </c>
      <c r="AL90" s="5">
        <f>COUNTIFS(   D4:D451,"Transportes, Energía y Medioambiente",H4:H451,"Sí")</f>
        <v>0</v>
      </c>
      <c r="AM90" s="5">
        <f>COUNTIFS(   D4:D451,"Transportes, Energía y Medioambiente",I4:I451,"Sí")</f>
        <v>0</v>
      </c>
      <c r="AN90" s="5">
        <f>COUNTIFS(   D4:D451,"Transportes, Energía y Medioambiente",I4:I451,"No")</f>
        <v>1</v>
      </c>
      <c r="AO90" s="5">
        <f>SUMIFS( E4:E451, D4:D451,"Transportes, Energía y Medioambiente",I4:I451,"Sí")</f>
        <v>0</v>
      </c>
      <c r="AP90" s="5">
        <f>SUMIFS( E4:E451, D4:D451,"Transportes, Energía y Medioambiente",I4:I451,"No")</f>
        <v>2</v>
      </c>
      <c r="AQ90" s="5">
        <f>COUNTIFS(   D4:D451,"Transportes, Energía y Medioambiente",J4:J451,"Sí")</f>
        <v>1</v>
      </c>
      <c r="AR90" s="5">
        <f>COUNTIFS(   D4:D451,"Transportes, Energía y Medioambiente",K4:K451,"Sí")</f>
        <v>0</v>
      </c>
      <c r="AS90" s="5">
        <f>COUNTIFS(   D4:D451,"Transportes, Energía y Medioambiente",L4:L451,"Sí")</f>
        <v>1</v>
      </c>
      <c r="AT90" s="5">
        <f>SUMIFS( E4:E451, D4:D451,"Transportes, Energía y Medioambiente")</f>
        <v>2</v>
      </c>
      <c r="AU90" s="5">
        <f>SUMIFS( E4:E451, F4:F451,"Hombre", D4:D451,"Transportes, Energía y Medioambiente")</f>
        <v>0</v>
      </c>
      <c r="AV90" s="5">
        <f>SUMIFS( E4:E451, F4:F451,"Mujer", D4:D451,"Transportes, Energía y Medioambiente")</f>
        <v>2</v>
      </c>
      <c r="AW90" s="29">
        <f>SUMIFS( E4:E451, A4:A451,"2013", D4:D451,"Transportes, Energía y Medioambiente")</f>
        <v>0</v>
      </c>
      <c r="AX90" s="5">
        <f>SUMIFS( E4:E451, A4:A451,"2014", D4:D451,"Transportes, Energía y Medioambiente")</f>
        <v>0</v>
      </c>
      <c r="AY90" s="5">
        <f>SUMIFS( E4:E451, A4:A451,"2015", D4:D451,"Transportes, Energía y Medioambiente")</f>
        <v>0</v>
      </c>
      <c r="AZ90" s="5">
        <f>SUMIFS( E4:E451, A4:A451,"2016", D4:D451,"Transportes, Energía y Medioambiente")</f>
        <v>2</v>
      </c>
      <c r="BA90" s="5">
        <f>SUMIFS( E4:E451, A4:A451,"2017", D4:D451,"Transportes, Energía y Medioambiente")</f>
        <v>0</v>
      </c>
      <c r="BB90" s="29">
        <f>SUMIFS( E4:E451, N4:N451,"2014", D4:D451,"Transportes, Energía y Medioambiente")</f>
        <v>0</v>
      </c>
      <c r="BC90" s="5">
        <f>SUMIFS( E4:E451, N4:N451,"2015", D4:D451,"Transportes, Energía y Medioambiente")</f>
        <v>0</v>
      </c>
      <c r="BD90" s="5">
        <f>SUMIFS( E4:E451, N4:N451,"2016", D4:D451,"Transportes, Energía y Medioambiente")</f>
        <v>0</v>
      </c>
      <c r="BE90" s="5">
        <f>SUMIFS( E4:E451, N4:N451,"2017", D4:D451,"Transportes, Energía y Medioambiente")</f>
        <v>2</v>
      </c>
      <c r="BF90" s="5">
        <f>SUMIFS( E4:E451, N4:N451,"2018", D4:D451,"Transportes, Energía y Medioambiente")</f>
        <v>0</v>
      </c>
      <c r="BG90" s="23">
        <f>AVERAGEIFS( E4:E451, D4:D451,"Transportes, Energía y Medioambiente")</f>
        <v>2</v>
      </c>
      <c r="BH90" s="23">
        <v>0</v>
      </c>
      <c r="BI90" s="23">
        <v>0</v>
      </c>
      <c r="BJ90" s="23">
        <v>0</v>
      </c>
      <c r="BK90" s="23">
        <f>AVERAGEIFS( E4:E451, A4:A451,"2016", D4:D451,"Transportes, Energía y Medioambiente")</f>
        <v>2</v>
      </c>
      <c r="BL90" s="23">
        <v>0</v>
      </c>
      <c r="BM90" s="23">
        <v>2</v>
      </c>
      <c r="BN90" s="23">
        <v>0</v>
      </c>
      <c r="BO90" s="23">
        <v>0</v>
      </c>
      <c r="BP90" s="23">
        <v>0</v>
      </c>
      <c r="BQ90" s="23">
        <v>2</v>
      </c>
      <c r="BR90" s="23">
        <v>0</v>
      </c>
    </row>
    <row r="91" spans="1:70" ht="15" customHeight="1" x14ac:dyDescent="0.25">
      <c r="A91">
        <v>2017</v>
      </c>
      <c r="B91" t="s">
        <v>4</v>
      </c>
      <c r="C91" t="s">
        <v>23</v>
      </c>
      <c r="D91" t="s">
        <v>27</v>
      </c>
      <c r="E91">
        <v>12</v>
      </c>
      <c r="F91" t="s">
        <v>215</v>
      </c>
      <c r="G91" t="s">
        <v>233</v>
      </c>
      <c r="H91" t="s">
        <v>233</v>
      </c>
      <c r="I91" t="s">
        <v>233</v>
      </c>
      <c r="J91" t="s">
        <v>234</v>
      </c>
      <c r="K91" t="s">
        <v>234</v>
      </c>
      <c r="L91" t="s">
        <v>234</v>
      </c>
      <c r="M91" s="14">
        <v>43047</v>
      </c>
      <c r="N91" s="14" t="str">
        <f t="shared" si="1"/>
        <v>2017</v>
      </c>
      <c r="O91" s="55" t="s">
        <v>116</v>
      </c>
      <c r="P91" s="56"/>
      <c r="Q91" s="56"/>
      <c r="R91" s="56"/>
      <c r="S91" s="56"/>
      <c r="T91" s="57"/>
      <c r="U91" s="5">
        <f>COUNTIFS(   D4:D451,"Tratamiento de Aguas")</f>
        <v>4</v>
      </c>
      <c r="V91" s="5">
        <f>COUNTIFS(   D4:D451,"Tratamiento de Aguas",F4:F451,"Hombre")</f>
        <v>2</v>
      </c>
      <c r="W91" s="5">
        <f>COUNTIFS(   D4:D451,"Tratamiento de Aguas",F4:F451,"Mujer")</f>
        <v>2</v>
      </c>
      <c r="X91" s="29">
        <f>COUNTIFS(   A4:A451,"2013", D4:D451,"Tratamiento de Aguas")</f>
        <v>0</v>
      </c>
      <c r="Y91" s="5">
        <f>COUNTIFS(   A4:A451,"2014", D4:D451,"Tratamiento de Aguas")</f>
        <v>0</v>
      </c>
      <c r="Z91" s="5">
        <f>COUNTIFS(   A4:A451,"2015", D4:D451,"Tratamiento de Aguas")</f>
        <v>1</v>
      </c>
      <c r="AA91" s="5">
        <f>COUNTIFS(   A4:A451,"2016", D4:D451,"Tratamiento de Aguas")</f>
        <v>3</v>
      </c>
      <c r="AB91" s="5">
        <f>COUNTIFS(   A4:A451,"2017", D4:D451,"Tratamiento de Aguas")</f>
        <v>0</v>
      </c>
      <c r="AC91" s="29">
        <f>COUNTIFS(   N4:N451,"2014", D4:D451,"Tratamiento de Aguas")</f>
        <v>0</v>
      </c>
      <c r="AD91" s="5">
        <f>COUNTIFS(   N4:N451,"2015", D4:D451,"Tratamiento de Aguas")</f>
        <v>1</v>
      </c>
      <c r="AE91" s="5">
        <f>COUNTIFS(   N4:N451,"2016", D4:D451,"Tratamiento de Aguas")</f>
        <v>1</v>
      </c>
      <c r="AF91" s="5">
        <f>COUNTIFS(   N4:N451,"2017", D4:D451,"Tratamiento de Aguas")</f>
        <v>2</v>
      </c>
      <c r="AG91" s="5">
        <f>COUNTIFS(   N4:N451,"2018", D4:D451,"Tratamiento de Aguas")</f>
        <v>0</v>
      </c>
      <c r="AH91" s="5">
        <f>COUNTIFS(   D4:D451,"Tratamiento de Aguas",G4:G451,"Sí")</f>
        <v>1</v>
      </c>
      <c r="AI91" s="5">
        <f>COUNTIFS(   D4:D451,"Tratamiento de Aguas",G4:G451,"No")</f>
        <v>3</v>
      </c>
      <c r="AJ91" s="5">
        <f>SUMIFS( E4:E451, D4:D451,"Tratamiento de Aguas",G4:G451,"Sí")</f>
        <v>5</v>
      </c>
      <c r="AK91" s="5">
        <f>SUMIFS( E4:E451, D4:D451,"Tratamiento de Aguas",G4:G451,"No")</f>
        <v>15</v>
      </c>
      <c r="AL91" s="5">
        <f>COUNTIFS(   D4:D451,"Tratamiento de Aguas",H4:H451,"Sí")</f>
        <v>2</v>
      </c>
      <c r="AM91" s="5">
        <f>COUNTIFS(   D4:D451,"Tratamiento de Aguas",I4:I451,"Sí")</f>
        <v>3</v>
      </c>
      <c r="AN91" s="5">
        <f>COUNTIFS(   D4:D451,"Tratamiento de Aguas",I4:I451,"No")</f>
        <v>1</v>
      </c>
      <c r="AO91" s="5">
        <f>SUMIFS( E4:E451, D4:D451,"Tratamiento de Aguas",I4:I451,"Sí")</f>
        <v>15</v>
      </c>
      <c r="AP91" s="5">
        <f>SUMIFS( E4:E451, D4:D451,"Tratamiento de Aguas",I4:I451,"No")</f>
        <v>5</v>
      </c>
      <c r="AQ91" s="5">
        <f>COUNTIFS(   D4:D451,"Tratamiento de Aguas",J4:J451,"Sí")</f>
        <v>2</v>
      </c>
      <c r="AR91" s="5">
        <f>COUNTIFS(   D4:D451,"Tratamiento de Aguas",K4:K451,"Sí")</f>
        <v>2</v>
      </c>
      <c r="AS91" s="5">
        <f>COUNTIFS(   D4:D451,"Tratamiento de Aguas",L4:L451,"Sí")</f>
        <v>4</v>
      </c>
      <c r="AT91" s="5">
        <f>SUMIFS( E4:E451, D4:D451,"Tratamiento de Aguas")</f>
        <v>20</v>
      </c>
      <c r="AU91" s="5">
        <f>SUMIFS( E4:E451, F4:F451,"Hombre", D4:D451,"Tratamiento de Aguas")</f>
        <v>12</v>
      </c>
      <c r="AV91" s="5">
        <f>SUMIFS( E4:E451, F4:F451,"Mujer", D4:D451,"Tratamiento de Aguas")</f>
        <v>8</v>
      </c>
      <c r="AW91" s="29">
        <f>SUMIFS( E4:E451, A4:A451,"2013", D4:D451,"Tratamiento de Aguas")</f>
        <v>0</v>
      </c>
      <c r="AX91" s="5">
        <f>SUMIFS( E4:E451, A4:A451,"2014", D4:D451,"Tratamiento de Aguas")</f>
        <v>0</v>
      </c>
      <c r="AY91" s="5">
        <f>SUMIFS( E4:E451, A4:A451,"2015", D4:D451,"Tratamiento de Aguas")</f>
        <v>5</v>
      </c>
      <c r="AZ91" s="5">
        <f>SUMIFS( E4:E451, A4:A451,"2016", D4:D451,"Tratamiento de Aguas")</f>
        <v>15</v>
      </c>
      <c r="BA91" s="5">
        <f>SUMIFS( E4:E451, A4:A451,"2017", D4:D451,"Tratamiento de Aguas")</f>
        <v>0</v>
      </c>
      <c r="BB91" s="29">
        <f>SUMIFS( E4:E451, N4:N451,"2014", D4:D451,"Tratamiento de Aguas")</f>
        <v>0</v>
      </c>
      <c r="BC91" s="5">
        <f>SUMIFS( E4:E451, N4:N451,"2015", D4:D451,"Tratamiento de Aguas")</f>
        <v>5</v>
      </c>
      <c r="BD91" s="5">
        <f>SUMIFS( E4:E451, N4:N451,"2016", D4:D451,"Tratamiento de Aguas")</f>
        <v>5</v>
      </c>
      <c r="BE91" s="5">
        <f>SUMIFS( E4:E451, N4:N451,"2017", D4:D451,"Tratamiento de Aguas")</f>
        <v>10</v>
      </c>
      <c r="BF91" s="5">
        <f>SUMIFS( E4:E451, N4:N451,"2018", D4:D451,"Tratamiento de Aguas")</f>
        <v>0</v>
      </c>
      <c r="BG91" s="23">
        <f>AVERAGEIFS( E4:E451, D4:D451,"Tratamiento de Aguas")</f>
        <v>5</v>
      </c>
      <c r="BH91" s="23">
        <v>0</v>
      </c>
      <c r="BI91" s="23">
        <v>0</v>
      </c>
      <c r="BJ91" s="23">
        <f>AVERAGEIFS( E4:E451, A4:A451,"2015", D4:D451,"Tratamiento de Aguas")</f>
        <v>5</v>
      </c>
      <c r="BK91" s="23">
        <f>AVERAGEIFS( E4:E451, A4:A451,"2016", D4:D451,"Tratamiento de Aguas")</f>
        <v>5</v>
      </c>
      <c r="BL91" s="23">
        <v>0</v>
      </c>
      <c r="BM91" s="23">
        <v>5</v>
      </c>
      <c r="BN91" s="23">
        <v>0</v>
      </c>
      <c r="BO91" s="23">
        <v>0</v>
      </c>
      <c r="BP91" s="23">
        <v>5</v>
      </c>
      <c r="BQ91" s="23">
        <v>5</v>
      </c>
      <c r="BR91" s="23">
        <v>0</v>
      </c>
    </row>
    <row r="92" spans="1:70" ht="15" customHeight="1" x14ac:dyDescent="0.25">
      <c r="A92">
        <v>2017</v>
      </c>
      <c r="B92" t="s">
        <v>4</v>
      </c>
      <c r="C92" t="s">
        <v>23</v>
      </c>
      <c r="D92" t="s">
        <v>27</v>
      </c>
      <c r="E92">
        <v>4</v>
      </c>
      <c r="F92" t="s">
        <v>215</v>
      </c>
      <c r="G92" t="s">
        <v>233</v>
      </c>
      <c r="H92" t="s">
        <v>233</v>
      </c>
      <c r="I92" t="s">
        <v>234</v>
      </c>
      <c r="J92" t="s">
        <v>234</v>
      </c>
      <c r="K92" t="s">
        <v>234</v>
      </c>
      <c r="L92" t="s">
        <v>234</v>
      </c>
      <c r="M92" s="14">
        <v>43038</v>
      </c>
      <c r="N92" s="14" t="str">
        <f t="shared" si="1"/>
        <v>2017</v>
      </c>
      <c r="O92" s="6" t="s">
        <v>66</v>
      </c>
      <c r="P92" s="7"/>
      <c r="Q92" s="7"/>
      <c r="R92" s="7"/>
      <c r="S92" s="7"/>
      <c r="T92" s="8"/>
      <c r="U92" s="4">
        <f>COUNTIFS(   C4:C451,"Matemáticas")</f>
        <v>2</v>
      </c>
      <c r="V92" s="4">
        <f>COUNTIFS(   C4:C451,"Matemáticas",F4:F451,"Hombre")</f>
        <v>2</v>
      </c>
      <c r="W92" s="4">
        <f>COUNTIFS(   C4:C451,"Matemáticas",F4:F451,"Mujer")</f>
        <v>0</v>
      </c>
      <c r="X92" s="28">
        <f>COUNTIFS(   A4:A451,"2013", C4:C451,"Matemáticas")</f>
        <v>0</v>
      </c>
      <c r="Y92" s="4">
        <f>COUNTIFS(   A4:A451,"2014", C4:C451,"Matemáticas")</f>
        <v>0</v>
      </c>
      <c r="Z92" s="4">
        <f>COUNTIFS(   A4:A451,"2015", C4:C451,"Matemáticas")</f>
        <v>0</v>
      </c>
      <c r="AA92" s="4">
        <f>COUNTIFS(   A4:A451,"2016", C4:C451,"Matemáticas")</f>
        <v>1</v>
      </c>
      <c r="AB92" s="4">
        <f>COUNTIFS(   A4:A451,"2017", C4:C451,"Matemáticas")</f>
        <v>1</v>
      </c>
      <c r="AC92" s="28">
        <f>COUNTIFS(   N4:N451,"2014", C4:C451,"Matemáticas")</f>
        <v>0</v>
      </c>
      <c r="AD92" s="4">
        <f>COUNTIFS(   N4:N451,"2015", C4:C451,"Matemáticas")</f>
        <v>0</v>
      </c>
      <c r="AE92" s="4">
        <f>COUNTIFS(   N4:N451,"2016", C4:C451,"Matemáticas")</f>
        <v>1</v>
      </c>
      <c r="AF92" s="4">
        <f>COUNTIFS(   N4:N451,"2017", C4:C451,"Matemáticas")</f>
        <v>1</v>
      </c>
      <c r="AG92" s="4">
        <f>COUNTIFS(   N4:N451,"2018", C4:C451,"Matemáticas")</f>
        <v>0</v>
      </c>
      <c r="AH92" s="4">
        <f>COUNTIFS(   C4:C451,"Matemáticas",G4:G451,"Sí")</f>
        <v>0</v>
      </c>
      <c r="AI92" s="4">
        <f>COUNTIFS(   C4:C451,"Matemáticas",G4:G451,"No")</f>
        <v>2</v>
      </c>
      <c r="AJ92" s="4">
        <f>SUMIFS( E4:E451, C4:C451,"Matemáticas",G4:G451,"Sí")</f>
        <v>0</v>
      </c>
      <c r="AK92" s="4">
        <f>SUMIFS( E4:E451, C4:C451,"Matemáticas",G4:G451,"No")</f>
        <v>2</v>
      </c>
      <c r="AL92" s="4">
        <f>COUNTIFS(   C4:C451,"Matemáticas",H4:H451,"Sí")</f>
        <v>0</v>
      </c>
      <c r="AM92" s="4">
        <f>COUNTIFS(   C4:C451,"Matemáticas",I4:I451,"Sí")</f>
        <v>2</v>
      </c>
      <c r="AN92" s="4">
        <f>COUNTIFS(   C4:C451,"Matemáticas",I4:I451,"No")</f>
        <v>0</v>
      </c>
      <c r="AO92" s="4">
        <f>SUMIFS( E4:E451, C4:C451,"Matemáticas",I4:I451,"Sí")</f>
        <v>2</v>
      </c>
      <c r="AP92" s="4">
        <f>SUMIFS( E4:E451, C4:C451,"Matemáticas",I4:I451,"No")</f>
        <v>0</v>
      </c>
      <c r="AQ92" s="4">
        <f>COUNTIFS(   C4:C451,"Matemáticas",J4:J451,"Sí")</f>
        <v>2</v>
      </c>
      <c r="AR92" s="4">
        <f>COUNTIFS(   C4:C451,"Matemáticas",K4:K451,"Sí")</f>
        <v>1</v>
      </c>
      <c r="AS92" s="4">
        <f>COUNTIFS(   C4:C451,"Matemáticas",L4:L451,"Sí")</f>
        <v>2</v>
      </c>
      <c r="AT92" s="4">
        <f>SUMIFS( E4:E451, C4:C451,"Matemáticas")</f>
        <v>2</v>
      </c>
      <c r="AU92" s="4">
        <f>SUMIFS( E4:E451, F4:F451,"Hombre", C4:C451,"Matemáticas")</f>
        <v>2</v>
      </c>
      <c r="AV92" s="4">
        <f>SUMIFS( E4:E451, F4:F451,"Mujer", C4:C451,"Matemáticas")</f>
        <v>0</v>
      </c>
      <c r="AW92" s="28">
        <f>SUMIFS( E4:E451, A4:A451,"2013", C4:C451,"Matemáticas")</f>
        <v>0</v>
      </c>
      <c r="AX92" s="4">
        <f>SUMIFS( E4:E451, A4:A451,"2014", C4:C451,"Matemáticas")</f>
        <v>0</v>
      </c>
      <c r="AY92" s="4">
        <f>SUMIFS( E4:E451, A4:A451,"2015", C4:C451,"Matemáticas")</f>
        <v>0</v>
      </c>
      <c r="AZ92" s="4">
        <f>SUMIFS( E4:E451, A4:A451,"2016", C4:C451,"Matemáticas")</f>
        <v>0</v>
      </c>
      <c r="BA92" s="4">
        <f>SUMIFS( E4:E451, A4:A451,"2017", C4:C451,"Matemáticas")</f>
        <v>2</v>
      </c>
      <c r="BB92" s="28">
        <f>SUMIFS( E4:E451, N4:N451,"2014", C4:C451,"Matemáticas")</f>
        <v>0</v>
      </c>
      <c r="BC92" s="4">
        <f>SUMIFS( E4:E451, N4:N451,"2015", C4:C451,"Matemáticas")</f>
        <v>0</v>
      </c>
      <c r="BD92" s="4">
        <f>SUMIFS( E4:E451, N4:N451,"2016", C4:C451,"Matemáticas")</f>
        <v>0</v>
      </c>
      <c r="BE92" s="4">
        <f>SUMIFS( E4:E451, N4:N451,"2017", C4:C451,"Matemáticas")</f>
        <v>2</v>
      </c>
      <c r="BF92" s="4">
        <f>SUMIFS( E4:E451, N4:N451,"2018", C4:C451,"Matemáticas")</f>
        <v>0</v>
      </c>
      <c r="BG92" s="22">
        <f>AVERAGEIFS( E4:E451, C4:C451,"Matemáticas")</f>
        <v>1</v>
      </c>
      <c r="BH92" s="22">
        <v>0</v>
      </c>
      <c r="BI92" s="22">
        <v>0</v>
      </c>
      <c r="BJ92" s="22">
        <v>0</v>
      </c>
      <c r="BK92" s="22">
        <f>AVERAGEIFS( E4:E451, A4:A451,"2016", C4:C451,"Matemáticas")</f>
        <v>0</v>
      </c>
      <c r="BL92" s="22">
        <f>AVERAGEIFS( E4:E451, A4:A451,"2017", C4:C451,"Matemáticas")</f>
        <v>2</v>
      </c>
      <c r="BM92" s="22">
        <f>AVERAGE(AT93:AT94)</f>
        <v>1</v>
      </c>
      <c r="BN92" s="22">
        <v>0</v>
      </c>
      <c r="BO92" s="22">
        <v>0</v>
      </c>
      <c r="BP92" s="22">
        <v>0</v>
      </c>
      <c r="BQ92" s="22">
        <v>0</v>
      </c>
      <c r="BR92" s="22">
        <f>AVERAGE(BA93:BA94)</f>
        <v>1</v>
      </c>
    </row>
    <row r="93" spans="1:70" ht="15" customHeight="1" x14ac:dyDescent="0.25">
      <c r="A93">
        <v>2017</v>
      </c>
      <c r="B93" t="s">
        <v>4</v>
      </c>
      <c r="C93" t="s">
        <v>23</v>
      </c>
      <c r="D93" t="s">
        <v>26</v>
      </c>
      <c r="E93">
        <v>2</v>
      </c>
      <c r="F93" t="s">
        <v>215</v>
      </c>
      <c r="G93" t="s">
        <v>233</v>
      </c>
      <c r="H93" t="s">
        <v>233</v>
      </c>
      <c r="I93" t="s">
        <v>233</v>
      </c>
      <c r="J93" t="s">
        <v>234</v>
      </c>
      <c r="K93" t="s">
        <v>234</v>
      </c>
      <c r="L93" t="s">
        <v>234</v>
      </c>
      <c r="M93" s="14">
        <v>43007</v>
      </c>
      <c r="N93" s="14" t="str">
        <f t="shared" si="1"/>
        <v>2017</v>
      </c>
      <c r="O93" s="55" t="s">
        <v>121</v>
      </c>
      <c r="P93" s="56"/>
      <c r="Q93" s="56"/>
      <c r="R93" s="56"/>
      <c r="S93" s="56"/>
      <c r="T93" s="57"/>
      <c r="U93" s="5">
        <f>COUNTIFS(   D4:D451,"Análisis Funcional. Espacios y Álgebras de Banach. Aplicaciones")</f>
        <v>1</v>
      </c>
      <c r="V93" s="5">
        <f>COUNTIFS(   D4:D451,"Análisis Funcional. Espacios y Álgebras de Banach. Aplicaciones",F4:F451,"Hombre")</f>
        <v>1</v>
      </c>
      <c r="W93" s="5">
        <f>COUNTIFS(   D4:D451,"Análisis Funcional. Espacios y Álgebras de Banach. Aplicaciones",F4:F451,"Mujer")</f>
        <v>0</v>
      </c>
      <c r="X93" s="29">
        <f>COUNTIFS(   A4:A451,"2013", D4:D451,"Análisis Funcional. Espacios y Álgebras de Banach. Aplicaciones")</f>
        <v>0</v>
      </c>
      <c r="Y93" s="5">
        <f>COUNTIFS(   A4:A451,"2014", D4:D451,"Análisis Funcional. Espacios y Álgebras de Banach. Aplicaciones")</f>
        <v>0</v>
      </c>
      <c r="Z93" s="5">
        <f>COUNTIFS(   A4:A451,"2015", D4:D451,"Análisis Funcional. Espacios y Álgebras de Banach. Aplicaciones")</f>
        <v>0</v>
      </c>
      <c r="AA93" s="5">
        <f>COUNTIFS(   A4:A451,"2016", D4:D451,"Análisis Funcional. Espacios y Álgebras de Banach. Aplicaciones")</f>
        <v>0</v>
      </c>
      <c r="AB93" s="5">
        <f>COUNTIFS(   A4:A451,"2017", D4:D451,"Análisis Funcional. Espacios y Álgebras de Banach. Aplicaciones")</f>
        <v>1</v>
      </c>
      <c r="AC93" s="29">
        <f>COUNTIFS(   N4:N451,"2014", D4:D451,"Análisis Funcional. Espacios y Álgebras de Banach. Aplicaciones")</f>
        <v>0</v>
      </c>
      <c r="AD93" s="5">
        <f>COUNTIFS(   N4:N451,"2015", D4:D451,"Análisis Funcional. Espacios y Álgebras de Banach. Aplicaciones")</f>
        <v>0</v>
      </c>
      <c r="AE93" s="5">
        <f>COUNTIFS(   N4:N451,"2016", D4:D451,"Análisis Funcional. Espacios y Álgebras de Banach. Aplicaciones")</f>
        <v>0</v>
      </c>
      <c r="AF93" s="5">
        <f>COUNTIFS(   N4:N451,"2017", D4:D451,"Análisis Funcional. Espacios y Álgebras de Banach. Aplicaciones")</f>
        <v>1</v>
      </c>
      <c r="AG93" s="5">
        <f>COUNTIFS(   N4:N451,"2018", D4:D451,"Análisis Funcional. Espacios y Álgebras de Banach. Aplicaciones")</f>
        <v>0</v>
      </c>
      <c r="AH93" s="5">
        <f>COUNTIFS(   D4:D451,"Análisis Funcional. Espacios y Álgebras de Banach. Aplicaciones",G4:G451,"Sí")</f>
        <v>0</v>
      </c>
      <c r="AI93" s="5">
        <f>COUNTIFS(   D4:D451,"Análisis Funcional. Espacios y Álgebras de Banach. Aplicaciones",G4:G451,"No")</f>
        <v>1</v>
      </c>
      <c r="AJ93" s="5">
        <f>SUMIFS( E4:E451, D4:D451,"Análisis Funcional. Espacios y Álgebras de Banach. Aplicaciones",G4:G451,"Sí")</f>
        <v>0</v>
      </c>
      <c r="AK93" s="5">
        <f>SUMIFS( E4:E451, D4:D451,"Análisis Funcional. Espacios y Álgebras de Banach. Aplicaciones",G4:G451,"No")</f>
        <v>2</v>
      </c>
      <c r="AL93" s="5">
        <f>COUNTIFS(   D4:D451,"Análisis Funcional. Espacios y Álgebras de Banach. Aplicaciones",H4:H451,"Sí")</f>
        <v>0</v>
      </c>
      <c r="AM93" s="5">
        <f>COUNTIFS(   D4:D451,"Análisis Funcional. Espacios y Álgebras de Banach. Aplicaciones",I4:I451,"Sí")</f>
        <v>1</v>
      </c>
      <c r="AN93" s="5">
        <f>COUNTIFS(   D4:D451,"Análisis Funcional. Espacios y Álgebras de Banach. Aplicaciones",I4:I451,"No")</f>
        <v>0</v>
      </c>
      <c r="AO93" s="5">
        <f>SUMIFS( E4:E451, D4:D451,"Análisis Funcional. Espacios y Álgebras de Banach. Aplicaciones",I4:I451,"Sí")</f>
        <v>2</v>
      </c>
      <c r="AP93" s="5">
        <f>SUMIFS( E4:E451, D4:D451,"Análisis Funcional. Espacios y Álgebras de Banach. Aplicaciones",I4:I451,"No")</f>
        <v>0</v>
      </c>
      <c r="AQ93" s="5">
        <f>COUNTIFS(   D4:D451,"Análisis Funcional. Espacios y Álgebras de Banach. Aplicaciones",J4:J451,"Sí")</f>
        <v>1</v>
      </c>
      <c r="AR93" s="5">
        <f>COUNTIFS(   D4:D451,"Análisis Funcional. Espacios y Álgebras de Banach. Aplicaciones",K4:K451,"Sí")</f>
        <v>1</v>
      </c>
      <c r="AS93" s="5">
        <f>COUNTIFS(   D4:D451,"Análisis Funcional. Espacios y Álgebras de Banach. Aplicaciones",L4:L451,"Sí")</f>
        <v>1</v>
      </c>
      <c r="AT93" s="5">
        <f>SUMIFS( E4:E451, D4:D451,"Análisis Funcional. Espacios y Álgebras de Banach. Aplicaciones")</f>
        <v>2</v>
      </c>
      <c r="AU93" s="5">
        <f>SUMIFS( E4:E451, F4:F451,"Hombre", D4:D451,"Análisis Funcional. Espacios y Álgebras de Banach. Aplicaciones")</f>
        <v>2</v>
      </c>
      <c r="AV93" s="5">
        <f>SUMIFS( E4:E451, F4:F451,"Mujer", D4:D451,"Análisis Funcional. Espacios y Álgebras de Banach. Aplicaciones")</f>
        <v>0</v>
      </c>
      <c r="AW93" s="29">
        <f>SUMIFS( E4:E451, A4:A451,"2013", D4:D451,"Análisis Funcional. Espacios y Álgebras de Banach. Aplicaciones")</f>
        <v>0</v>
      </c>
      <c r="AX93" s="5">
        <f>SUMIFS( E4:E451, A4:A451,"2014", D4:D451,"Análisis Funcional. Espacios y Álgebras de Banach. Aplicaciones")</f>
        <v>0</v>
      </c>
      <c r="AY93" s="5">
        <f>SUMIFS( E4:E451, A4:A451,"2015", D4:D451,"Análisis Funcional. Espacios y Álgebras de Banach. Aplicaciones")</f>
        <v>0</v>
      </c>
      <c r="AZ93" s="5">
        <f>SUMIFS( E4:E451, A4:A451,"2016", D4:D451,"Análisis Funcional. Espacios y Álgebras de Banach. Aplicaciones")</f>
        <v>0</v>
      </c>
      <c r="BA93" s="5">
        <f>SUMIFS( E4:E451, A4:A451,"2017", D4:D451,"Análisis Funcional. Espacios y Álgebras de Banach. Aplicaciones")</f>
        <v>2</v>
      </c>
      <c r="BB93" s="29">
        <f>SUMIFS( E4:E451, N4:N451,"2014", D4:D451,"Análisis Funcional. Espacios y Álgebras de Banach. Aplicaciones")</f>
        <v>0</v>
      </c>
      <c r="BC93" s="5">
        <f>SUMIFS( E4:E451, N4:N451,"2015", D4:D451,"Análisis Funcional. Espacios y Álgebras de Banach. Aplicaciones")</f>
        <v>0</v>
      </c>
      <c r="BD93" s="5">
        <f>SUMIFS( E4:E451, N4:N451,"2016", D4:D451,"Análisis Funcional. Espacios y Álgebras de Banach. Aplicaciones")</f>
        <v>0</v>
      </c>
      <c r="BE93" s="5">
        <f>SUMIFS( E4:E451, N4:N451,"2017", D4:D451,"Análisis Funcional. Espacios y Álgebras de Banach. Aplicaciones")</f>
        <v>2</v>
      </c>
      <c r="BF93" s="5">
        <f>SUMIFS( E4:E451, N4:N451,"2018", D4:D451,"Análisis Funcional. Espacios y Álgebras de Banach. Aplicaciones")</f>
        <v>0</v>
      </c>
      <c r="BG93" s="23">
        <f>AVERAGEIFS( E4:E451, D4:D451,"Análisis Funcional. Espacios y Álgebras de Banach. Aplicaciones")</f>
        <v>2</v>
      </c>
      <c r="BH93" s="23">
        <v>0</v>
      </c>
      <c r="BI93" s="23">
        <v>0</v>
      </c>
      <c r="BJ93" s="23">
        <v>0</v>
      </c>
      <c r="BK93" s="23">
        <v>0</v>
      </c>
      <c r="BL93" s="23">
        <f>AVERAGEIFS( E4:E451, A4:A451,"2017", D4:D451,"Análisis Funcional. Espacios y Álgebras de Banach. Aplicaciones")</f>
        <v>2</v>
      </c>
      <c r="BM93" s="23">
        <v>2</v>
      </c>
      <c r="BN93" s="23">
        <v>0</v>
      </c>
      <c r="BO93" s="23">
        <v>0</v>
      </c>
      <c r="BP93" s="23">
        <v>0</v>
      </c>
      <c r="BQ93" s="23">
        <v>0</v>
      </c>
      <c r="BR93" s="23">
        <v>2</v>
      </c>
    </row>
    <row r="94" spans="1:70" ht="15" customHeight="1" x14ac:dyDescent="0.25">
      <c r="A94">
        <v>2017</v>
      </c>
      <c r="B94" t="s">
        <v>4</v>
      </c>
      <c r="C94" t="s">
        <v>23</v>
      </c>
      <c r="D94" t="s">
        <v>27</v>
      </c>
      <c r="E94">
        <v>14</v>
      </c>
      <c r="F94" t="s">
        <v>211</v>
      </c>
      <c r="G94" t="s">
        <v>233</v>
      </c>
      <c r="H94" t="s">
        <v>233</v>
      </c>
      <c r="I94" t="s">
        <v>233</v>
      </c>
      <c r="J94" t="s">
        <v>234</v>
      </c>
      <c r="K94" t="s">
        <v>234</v>
      </c>
      <c r="L94" t="s">
        <v>234</v>
      </c>
      <c r="M94" s="14">
        <v>43000</v>
      </c>
      <c r="N94" s="14" t="str">
        <f t="shared" si="1"/>
        <v>2017</v>
      </c>
      <c r="O94" s="55" t="s">
        <v>122</v>
      </c>
      <c r="P94" s="56"/>
      <c r="Q94" s="56"/>
      <c r="R94" s="56"/>
      <c r="S94" s="56"/>
      <c r="T94" s="57"/>
      <c r="U94" s="5">
        <f>COUNTIFS(   D4:D451,"Análisis geométrico")</f>
        <v>1</v>
      </c>
      <c r="V94" s="5">
        <f>COUNTIFS(   D4:D451,"Análisis geométrico",F4:F451,"Hombre")</f>
        <v>1</v>
      </c>
      <c r="W94" s="5">
        <f>COUNTIFS(   D4:D451,"Análisis geométrico",F4:F451,"Mujer")</f>
        <v>0</v>
      </c>
      <c r="X94" s="29">
        <f>COUNTIFS(   A4:A451,"2013", D4:D451,"Análisis geométrico")</f>
        <v>0</v>
      </c>
      <c r="Y94" s="5">
        <f>COUNTIFS(   A4:A451,"2014", D4:D451,"Análisis geométrico")</f>
        <v>0</v>
      </c>
      <c r="Z94" s="5">
        <f>COUNTIFS(   A4:A451,"2015", D4:D451,"Análisis geométrico")</f>
        <v>0</v>
      </c>
      <c r="AA94" s="5">
        <f>COUNTIFS(   A4:A451,"2016", D4:D451,"Análisis geométrico")</f>
        <v>1</v>
      </c>
      <c r="AB94" s="5">
        <f>COUNTIFS(   A4:A451,"2017", D4:D451,"Análisis geométrico")</f>
        <v>0</v>
      </c>
      <c r="AC94" s="29">
        <f>COUNTIFS(   N4:N451,"2014", D4:D451,"Análisis geométrico")</f>
        <v>0</v>
      </c>
      <c r="AD94" s="5">
        <f>COUNTIFS(   N4:N451,"2015", D4:D451,"Análisis geométrico")</f>
        <v>0</v>
      </c>
      <c r="AE94" s="5">
        <f>COUNTIFS(   N4:N451,"2016", D4:D451,"Análisis geométrico")</f>
        <v>1</v>
      </c>
      <c r="AF94" s="5">
        <f>COUNTIFS(   N4:N451,"2017", D4:D451,"Análisis geométrico")</f>
        <v>0</v>
      </c>
      <c r="AG94" s="5">
        <f>COUNTIFS(   N4:N451,"2018", D4:D451,"Análisis geométrico")</f>
        <v>0</v>
      </c>
      <c r="AH94" s="5">
        <f>COUNTIFS(   D4:D451,"Análisis geométrico",G4:G451,"Sí")</f>
        <v>0</v>
      </c>
      <c r="AI94" s="5">
        <f>COUNTIFS(   D4:D451,"Análisis geométrico",G4:G451,"No")</f>
        <v>1</v>
      </c>
      <c r="AJ94" s="5">
        <f>SUMIFS( E4:E451, D4:D451,"Análisis geométrico",G4:G451,"Sí")</f>
        <v>0</v>
      </c>
      <c r="AK94" s="5">
        <f>SUMIFS( E4:E451, D4:D451,"Análisis geométrico",G4:G451,"No")</f>
        <v>0</v>
      </c>
      <c r="AL94" s="5">
        <f>COUNTIFS(   D4:D451,"Análisis geométrico",H4:H451,"Sí")</f>
        <v>0</v>
      </c>
      <c r="AM94" s="5">
        <f>COUNTIFS(   D4:D451,"Análisis geométrico",I4:I451,"Sí")</f>
        <v>1</v>
      </c>
      <c r="AN94" s="5">
        <f>COUNTIFS(   D4:D451,"Análisis geométrico",I4:I451,"No")</f>
        <v>0</v>
      </c>
      <c r="AO94" s="5">
        <f>SUMIFS( E4:E451, D4:D451,"Análisis geométrico",I4:I451,"Sí")</f>
        <v>0</v>
      </c>
      <c r="AP94" s="5">
        <f>SUMIFS( E4:E451, D4:D451,"Análisis geométrico",I4:I451,"No")</f>
        <v>0</v>
      </c>
      <c r="AQ94" s="5">
        <f>COUNTIFS(   D4:D451,"Análisis geométrico",J4:J451,"Sí")</f>
        <v>1</v>
      </c>
      <c r="AR94" s="5">
        <f>COUNTIFS(   D4:D451,"Análisis geométrico",K4:K451,"Sí")</f>
        <v>0</v>
      </c>
      <c r="AS94" s="5">
        <f>COUNTIFS(   D4:D451,"Análisis geométrico",L4:L451,"Sí")</f>
        <v>1</v>
      </c>
      <c r="AT94" s="5">
        <f>SUMIFS( E4:E451, D4:D451,"Análisis geométrico")</f>
        <v>0</v>
      </c>
      <c r="AU94" s="5">
        <f>SUMIFS( E4:E451, F4:F451,"Hombre", D4:D451,"Análisis geométrico")</f>
        <v>0</v>
      </c>
      <c r="AV94" s="5">
        <f>SUMIFS( E4:E451, F4:F451,"Mujer", D4:D451,"Análisis geométrico")</f>
        <v>0</v>
      </c>
      <c r="AW94" s="29">
        <f>SUMIFS( E4:E451, A4:A451,"2013", D4:D451,"Análisis geométrico")</f>
        <v>0</v>
      </c>
      <c r="AX94" s="5">
        <f>SUMIFS( E4:E451, A4:A451,"2014", D4:D451,"Análisis geométrico")</f>
        <v>0</v>
      </c>
      <c r="AY94" s="5">
        <f>SUMIFS( E4:E451, A4:A451,"2015", D4:D451,"Análisis geométrico")</f>
        <v>0</v>
      </c>
      <c r="AZ94" s="5">
        <f>SUMIFS( E4:E451, A4:A451,"2016", D4:D451,"Análisis geométrico")</f>
        <v>0</v>
      </c>
      <c r="BA94" s="5">
        <f>SUMIFS( E4:E451, A4:A451,"2017", D4:D451,"Análisis geométrico")</f>
        <v>0</v>
      </c>
      <c r="BB94" s="29">
        <f>SUMIFS( E4:E451, N4:N451,"2014", D4:D451,"Análisis geométrico")</f>
        <v>0</v>
      </c>
      <c r="BC94" s="5">
        <f>SUMIFS( E4:E451, N4:N451,"2015", D4:D451,"Análisis geométrico")</f>
        <v>0</v>
      </c>
      <c r="BD94" s="5">
        <f>SUMIFS( E4:E451, N4:N451,"2016", D4:D451,"Análisis geométrico")</f>
        <v>0</v>
      </c>
      <c r="BE94" s="5">
        <f>SUMIFS( E4:E451, N4:N451,"2017", D4:D451,"Análisis geométrico")</f>
        <v>0</v>
      </c>
      <c r="BF94" s="5">
        <f>SUMIFS( E4:E451, N4:N451,"2018", D4:D451,"Análisis geométrico")</f>
        <v>0</v>
      </c>
      <c r="BG94" s="23">
        <f>AVERAGEIFS( E4:E451, D4:D451,"Análisis geométrico")</f>
        <v>0</v>
      </c>
      <c r="BH94" s="23">
        <v>0</v>
      </c>
      <c r="BI94" s="23">
        <v>0</v>
      </c>
      <c r="BJ94" s="23">
        <v>0</v>
      </c>
      <c r="BK94" s="23">
        <f>AVERAGEIFS( E4:E451, A4:A451,"2016", D4:D451,"Análisis geométrico")</f>
        <v>0</v>
      </c>
      <c r="BL94" s="23">
        <v>0</v>
      </c>
      <c r="BM94" s="23">
        <v>0</v>
      </c>
      <c r="BN94" s="23">
        <v>0</v>
      </c>
      <c r="BO94" s="23">
        <v>0</v>
      </c>
      <c r="BP94" s="23">
        <v>0</v>
      </c>
      <c r="BQ94" s="23">
        <v>0</v>
      </c>
      <c r="BR94" s="23">
        <v>0</v>
      </c>
    </row>
    <row r="95" spans="1:70" ht="15" customHeight="1" x14ac:dyDescent="0.25">
      <c r="A95">
        <v>2017</v>
      </c>
      <c r="B95" t="s">
        <v>4</v>
      </c>
      <c r="C95" t="s">
        <v>23</v>
      </c>
      <c r="D95" t="s">
        <v>27</v>
      </c>
      <c r="E95">
        <v>3</v>
      </c>
      <c r="F95" t="s">
        <v>211</v>
      </c>
      <c r="G95" t="s">
        <v>233</v>
      </c>
      <c r="H95" t="s">
        <v>233</v>
      </c>
      <c r="I95" t="s">
        <v>233</v>
      </c>
      <c r="J95" t="s">
        <v>234</v>
      </c>
      <c r="K95" t="s">
        <v>234</v>
      </c>
      <c r="L95" t="s">
        <v>234</v>
      </c>
      <c r="M95" s="14">
        <v>42999</v>
      </c>
      <c r="N95" s="14" t="str">
        <f t="shared" si="1"/>
        <v>2017</v>
      </c>
      <c r="O95" s="6" t="s">
        <v>67</v>
      </c>
      <c r="P95" s="7"/>
      <c r="Q95" s="7"/>
      <c r="R95" s="7"/>
      <c r="S95" s="7"/>
      <c r="T95" s="8"/>
      <c r="U95" s="4">
        <f>COUNTIFS(   C4:C451,"Química")</f>
        <v>20</v>
      </c>
      <c r="V95" s="4">
        <f>COUNTIFS(   C4:C451,"Química",F4:F451,"Hombre")</f>
        <v>7</v>
      </c>
      <c r="W95" s="4">
        <f>COUNTIFS(   C4:C451,"Química",F4:F451,"Mujer")</f>
        <v>13</v>
      </c>
      <c r="X95" s="28">
        <f>COUNTIFS(   A4:A451,"2013", C4:C451,"Química")</f>
        <v>0</v>
      </c>
      <c r="Y95" s="4">
        <f>COUNTIFS(   A4:A451,"2014", C4:C451,"Química")</f>
        <v>2</v>
      </c>
      <c r="Z95" s="4">
        <f>COUNTIFS(   A4:A451,"2015", C4:C451,"Química")</f>
        <v>1</v>
      </c>
      <c r="AA95" s="4">
        <f>COUNTIFS(   A4:A451,"2016", C4:C451,"Química")</f>
        <v>4</v>
      </c>
      <c r="AB95" s="4">
        <f>COUNTIFS(   A4:A451,"2017", C4:C451,"Química")</f>
        <v>13</v>
      </c>
      <c r="AC95" s="28">
        <f>COUNTIFS(   N4:N451,"2014", C4:C451,"Química")</f>
        <v>0</v>
      </c>
      <c r="AD95" s="4">
        <f>COUNTIFS(   N4:N451,"2015", C4:C451,"Química")</f>
        <v>2</v>
      </c>
      <c r="AE95" s="4">
        <f>COUNTIFS(   N4:N451,"2016", C4:C451,"Química")</f>
        <v>1</v>
      </c>
      <c r="AF95" s="4">
        <f>COUNTIFS(   N4:N451,"2017", C4:C451,"Química")</f>
        <v>9</v>
      </c>
      <c r="AG95" s="4">
        <f>COUNTIFS(   N4:N451,"2018", C4:C451,"Química")</f>
        <v>8</v>
      </c>
      <c r="AH95" s="4">
        <f>COUNTIFS(   C4:C451,"Química",G4:G451,"Sí")</f>
        <v>3</v>
      </c>
      <c r="AI95" s="4">
        <f>COUNTIFS(   C4:C451,"Química",G4:G451,"No")</f>
        <v>17</v>
      </c>
      <c r="AJ95" s="4">
        <f>SUMIFS( E4:E451, C4:C451,"Química",G4:G451,"Sí")</f>
        <v>6</v>
      </c>
      <c r="AK95" s="4">
        <f>SUMIFS( E4:E451, C4:C451,"Química",G4:G451,"No")</f>
        <v>131</v>
      </c>
      <c r="AL95" s="4">
        <f>COUNTIFS(   C4:C451,"Química",H4:H451,"Sí")</f>
        <v>5</v>
      </c>
      <c r="AM95" s="4">
        <f>COUNTIFS(   C4:C451,"Química",I4:I451,"Sí")</f>
        <v>11</v>
      </c>
      <c r="AN95" s="4">
        <f>COUNTIFS(   C4:C451,"Química",I4:I451,"No")</f>
        <v>9</v>
      </c>
      <c r="AO95" s="4">
        <f>SUMIFS( E4:E451, C4:C451,"Química",I4:I451,"Sí")</f>
        <v>66</v>
      </c>
      <c r="AP95" s="4">
        <f>SUMIFS( E4:E451, C4:C451,"Química",I4:I451,"No")</f>
        <v>71</v>
      </c>
      <c r="AQ95" s="4">
        <f>COUNTIFS(   C4:C451,"Química",J4:J451,"Sí")</f>
        <v>13</v>
      </c>
      <c r="AR95" s="4">
        <f>COUNTIFS(   C4:C451,"Química",K4:K451,"Sí")</f>
        <v>11</v>
      </c>
      <c r="AS95" s="4">
        <f>COUNTIFS(   C4:C451,"Química",L4:L451,"Sí")</f>
        <v>19</v>
      </c>
      <c r="AT95" s="4">
        <f>SUMIFS( E4:E451, C4:C451,"Química")</f>
        <v>137</v>
      </c>
      <c r="AU95" s="4">
        <f>SUMIFS( E4:E451, F4:F451,"Hombre", C4:C451,"Química")</f>
        <v>41</v>
      </c>
      <c r="AV95" s="4">
        <f>SUMIFS( E4:E451, F4:F451,"Mujer", C4:C451,"Química")</f>
        <v>96</v>
      </c>
      <c r="AW95" s="28">
        <f>SUMIFS( E4:E451, A4:A451,"2013", C4:C451,"Química")</f>
        <v>0</v>
      </c>
      <c r="AX95" s="4">
        <f>SUMIFS( E4:E451, A4:A451,"2014", C4:C451,"Química")</f>
        <v>12</v>
      </c>
      <c r="AY95" s="4">
        <f>SUMIFS( E4:E451, A4:A451,"2015", C4:C451,"Química")</f>
        <v>2</v>
      </c>
      <c r="AZ95" s="4">
        <f>SUMIFS( E4:E451, A4:A451,"2016", C4:C451,"Química")</f>
        <v>39</v>
      </c>
      <c r="BA95" s="4">
        <f>SUMIFS( E4:E451, A4:A451,"2017", C4:C451,"Química")</f>
        <v>84</v>
      </c>
      <c r="BB95" s="28">
        <f>SUMIFS( E4:E451, N4:N451,"2014", C4:C451,"Química")</f>
        <v>0</v>
      </c>
      <c r="BC95" s="4">
        <f>SUMIFS( E4:E451, N4:N451,"2015", C4:C451,"Química")</f>
        <v>12</v>
      </c>
      <c r="BD95" s="4">
        <f>SUMIFS( E4:E451, N4:N451,"2016", C4:C451,"Química")</f>
        <v>2</v>
      </c>
      <c r="BE95" s="4">
        <f>SUMIFS( E4:E451, N4:N451,"2017", C4:C451,"Química")</f>
        <v>98</v>
      </c>
      <c r="BF95" s="4">
        <f>SUMIFS( E4:E451, N4:N451,"2018", C4:C451,"Química")</f>
        <v>25</v>
      </c>
      <c r="BG95" s="22">
        <f>AVERAGEIFS( E4:E451, C4:C451,"Química")</f>
        <v>6.85</v>
      </c>
      <c r="BH95" s="22">
        <v>0</v>
      </c>
      <c r="BI95" s="22">
        <f>AVERAGEIFS( E4:E451, A4:A451,"2014", C4:C451,"Química")</f>
        <v>6</v>
      </c>
      <c r="BJ95" s="22">
        <f>AVERAGEIFS( E4:E451, A4:A451,"2015", C4:C451,"Química")</f>
        <v>2</v>
      </c>
      <c r="BK95" s="22">
        <f>AVERAGEIFS( E4:E451, A4:A451,"2016", C4:C451,"Química")</f>
        <v>9.75</v>
      </c>
      <c r="BL95" s="22">
        <f>AVERAGEIFS( E4:E451, A4:A451,"2017", C4:C451,"Química")</f>
        <v>6.4615384615384617</v>
      </c>
      <c r="BM95" s="22">
        <f>AVERAGE(AT96:AT103)</f>
        <v>17.125</v>
      </c>
      <c r="BN95" s="22">
        <v>0</v>
      </c>
      <c r="BO95" s="22">
        <f>AVERAGE(AX96:AX103)</f>
        <v>1.5</v>
      </c>
      <c r="BP95" s="22">
        <f>AVERAGE(AY96:AY103)</f>
        <v>0.25</v>
      </c>
      <c r="BQ95" s="22">
        <f>AVERAGE(AZ96:AZ103)</f>
        <v>4.875</v>
      </c>
      <c r="BR95" s="22">
        <f>AVERAGE(BA96:BA103)</f>
        <v>10.5</v>
      </c>
    </row>
    <row r="96" spans="1:70" ht="15" customHeight="1" x14ac:dyDescent="0.25">
      <c r="A96">
        <v>2017</v>
      </c>
      <c r="B96" t="s">
        <v>4</v>
      </c>
      <c r="C96" t="s">
        <v>23</v>
      </c>
      <c r="D96" t="s">
        <v>30</v>
      </c>
      <c r="E96">
        <v>12</v>
      </c>
      <c r="F96" t="s">
        <v>211</v>
      </c>
      <c r="G96" t="s">
        <v>233</v>
      </c>
      <c r="H96" t="s">
        <v>233</v>
      </c>
      <c r="I96" t="s">
        <v>233</v>
      </c>
      <c r="J96" t="s">
        <v>234</v>
      </c>
      <c r="K96" t="s">
        <v>234</v>
      </c>
      <c r="L96" t="s">
        <v>234</v>
      </c>
      <c r="M96" s="14">
        <v>42997</v>
      </c>
      <c r="N96" s="14" t="str">
        <f t="shared" si="1"/>
        <v>2017</v>
      </c>
      <c r="O96" s="55" t="s">
        <v>128</v>
      </c>
      <c r="P96" s="56"/>
      <c r="Q96" s="56"/>
      <c r="R96" s="56"/>
      <c r="S96" s="56"/>
      <c r="T96" s="57"/>
      <c r="U96" s="5">
        <f>COUNTIFS(   D4:D451,"Adsorción y catálisis")</f>
        <v>2</v>
      </c>
      <c r="V96" s="5">
        <f>COUNTIFS(   D4:D451,"Adsorción y catálisis",F4:F451,"Hombre")</f>
        <v>1</v>
      </c>
      <c r="W96" s="5">
        <f>COUNTIFS(   D4:D451,"Adsorción y catálisis",F4:F451,"Mujer")</f>
        <v>1</v>
      </c>
      <c r="X96" s="29">
        <f>COUNTIFS(   A4:A451,"2013", D4:D451,"Adsorción y catálisis")</f>
        <v>0</v>
      </c>
      <c r="Y96" s="5">
        <f>COUNTIFS(   A4:A451,"2014", D4:D451,"Adsorción y catálisis")</f>
        <v>0</v>
      </c>
      <c r="Z96" s="5">
        <f>COUNTIFS(   A4:A451,"2015", D4:D451,"Adsorción y catálisis")</f>
        <v>0</v>
      </c>
      <c r="AA96" s="5">
        <f>COUNTIFS(   A4:A451,"2016", D4:D451,"Adsorción y catálisis")</f>
        <v>0</v>
      </c>
      <c r="AB96" s="5">
        <f>COUNTIFS(   A4:A451,"2017", D4:D451,"Adsorción y catálisis")</f>
        <v>2</v>
      </c>
      <c r="AC96" s="29">
        <f>COUNTIFS(   N4:N451,"2014", D4:D451,"Adsorción y catálisis")</f>
        <v>0</v>
      </c>
      <c r="AD96" s="5">
        <f>COUNTIFS(   N4:N451,"2015", D4:D451,"Adsorción y catálisis")</f>
        <v>0</v>
      </c>
      <c r="AE96" s="5">
        <f>COUNTIFS(   N4:N451,"2016", D4:D451,"Adsorción y catálisis")</f>
        <v>0</v>
      </c>
      <c r="AF96" s="5">
        <f>COUNTIFS(   N4:N451,"2017", D4:D451,"Adsorción y catálisis")</f>
        <v>1</v>
      </c>
      <c r="AG96" s="5">
        <f>COUNTIFS(   N4:N451,"2018", D4:D451,"Adsorción y catálisis")</f>
        <v>1</v>
      </c>
      <c r="AH96" s="5">
        <f>COUNTIFS(   D4:D451,"Adsorción y catálisis",G4:G451,"Sí")</f>
        <v>1</v>
      </c>
      <c r="AI96" s="5">
        <f>COUNTIFS(   D4:D451,"Adsorción y catálisis",G4:G451,"No")</f>
        <v>1</v>
      </c>
      <c r="AJ96" s="5">
        <f>SUMIFS( E4:E451, D4:D451,"Adsorción y catálisis",G4:G451,"Sí")</f>
        <v>4</v>
      </c>
      <c r="AK96" s="5">
        <f>SUMIFS( E4:E451, D4:D451,"Adsorción y catálisis",G4:G451,"No")</f>
        <v>5</v>
      </c>
      <c r="AL96" s="5">
        <f>COUNTIFS(   D4:D451,"Adsorción y catálisis",H4:H451,"Sí")</f>
        <v>0</v>
      </c>
      <c r="AM96" s="5">
        <f>COUNTIFS(   D4:D451,"Adsorción y catálisis",I4:I451,"Sí")</f>
        <v>1</v>
      </c>
      <c r="AN96" s="5">
        <f>COUNTIFS(   D4:D451,"Adsorción y catálisis",I4:I451,"No")</f>
        <v>1</v>
      </c>
      <c r="AO96" s="5">
        <f>SUMIFS( E4:E451, D4:D451,"Adsorción y catálisis",I4:I451,"Sí")</f>
        <v>4</v>
      </c>
      <c r="AP96" s="5">
        <f>SUMIFS( E4:E451, D4:D451,"Adsorción y catálisis",I4:I451,"No")</f>
        <v>5</v>
      </c>
      <c r="AQ96" s="5">
        <f>COUNTIFS(   D4:D451,"Adsorción y catálisis",J4:J451,"Sí")</f>
        <v>1</v>
      </c>
      <c r="AR96" s="5">
        <f>COUNTIFS(   D4:D451,"Adsorción y catálisis",K4:K451,"Sí")</f>
        <v>2</v>
      </c>
      <c r="AS96" s="5">
        <f>COUNTIFS(   D4:D451,"Adsorción y catálisis",L4:L451,"Sí")</f>
        <v>2</v>
      </c>
      <c r="AT96" s="5">
        <f>SUMIFS( E4:E451, D4:D451,"Adsorción y catálisis")</f>
        <v>9</v>
      </c>
      <c r="AU96" s="5">
        <f>SUMIFS( E4:E451, F4:F451,"Hombre", D4:D451,"Adsorción y catálisis")</f>
        <v>4</v>
      </c>
      <c r="AV96" s="5">
        <f>SUMIFS( E4:E451, F4:F451,"Mujer", D4:D451,"Adsorción y catálisis")</f>
        <v>5</v>
      </c>
      <c r="AW96" s="29">
        <f>SUMIFS( E4:E451, A4:A451,"2013", D4:D451,"Adsorción y catálisis")</f>
        <v>0</v>
      </c>
      <c r="AX96" s="5">
        <f>SUMIFS( E4:E451, A4:A451,"2014", D4:D451,"Adsorción y catálisis")</f>
        <v>0</v>
      </c>
      <c r="AY96" s="5">
        <f>SUMIFS( E4:E451, A4:A451,"2015", D4:D451,"Adsorción y catálisis")</f>
        <v>0</v>
      </c>
      <c r="AZ96" s="5">
        <f>SUMIFS( E4:E451, A4:A451,"2016", D4:D451,"Adsorción y catálisis")</f>
        <v>0</v>
      </c>
      <c r="BA96" s="5">
        <f>SUMIFS( E4:E451, A4:A451,"2017", D4:D451,"Adsorción y catálisis")</f>
        <v>9</v>
      </c>
      <c r="BB96" s="29">
        <f>SUMIFS( E4:E451, N4:N451,"2014", D4:D451,"Adsorción y catálisis")</f>
        <v>0</v>
      </c>
      <c r="BC96" s="5">
        <f>SUMIFS( E4:E451, N4:N451,"2015", D4:D451,"Adsorción y catálisis")</f>
        <v>0</v>
      </c>
      <c r="BD96" s="5">
        <f>SUMIFS( E4:E451, N4:N451,"2016", D4:D451,"Adsorción y catálisis")</f>
        <v>0</v>
      </c>
      <c r="BE96" s="5">
        <f>SUMIFS( E4:E451, N4:N451,"2017", D4:D451,"Adsorción y catálisis")</f>
        <v>5</v>
      </c>
      <c r="BF96" s="5">
        <f>SUMIFS( E4:E451, N4:N451,"2018", D4:D451,"Adsorción y catálisis")</f>
        <v>4</v>
      </c>
      <c r="BG96" s="23">
        <f>AVERAGEIFS( E4:E451, D4:D451,"Adsorción y catálisis")</f>
        <v>4.5</v>
      </c>
      <c r="BH96" s="23">
        <v>0</v>
      </c>
      <c r="BI96" s="23">
        <v>0</v>
      </c>
      <c r="BJ96" s="23">
        <v>0</v>
      </c>
      <c r="BK96" s="23">
        <v>0</v>
      </c>
      <c r="BL96" s="23">
        <f>AVERAGEIFS( E4:E451, A4:A451,"2017", D4:D451,"Adsorción y catálisis")</f>
        <v>4.5</v>
      </c>
      <c r="BM96" s="23">
        <v>4.5</v>
      </c>
      <c r="BN96" s="23">
        <v>0</v>
      </c>
      <c r="BO96" s="23">
        <v>0</v>
      </c>
      <c r="BP96" s="23">
        <v>0</v>
      </c>
      <c r="BQ96" s="23">
        <v>0</v>
      </c>
      <c r="BR96" s="23">
        <v>4.5</v>
      </c>
    </row>
    <row r="97" spans="1:70" ht="15" customHeight="1" x14ac:dyDescent="0.25">
      <c r="A97">
        <v>2016</v>
      </c>
      <c r="B97" t="s">
        <v>4</v>
      </c>
      <c r="C97" t="s">
        <v>23</v>
      </c>
      <c r="D97" t="s">
        <v>29</v>
      </c>
      <c r="E97" s="17">
        <v>12</v>
      </c>
      <c r="F97" t="s">
        <v>211</v>
      </c>
      <c r="G97" t="s">
        <v>233</v>
      </c>
      <c r="H97" t="s">
        <v>233</v>
      </c>
      <c r="I97" t="s">
        <v>233</v>
      </c>
      <c r="J97" t="s">
        <v>234</v>
      </c>
      <c r="K97" t="s">
        <v>233</v>
      </c>
      <c r="L97" t="s">
        <v>234</v>
      </c>
      <c r="M97" s="14">
        <v>42930</v>
      </c>
      <c r="N97" s="14" t="str">
        <f t="shared" si="1"/>
        <v>2017</v>
      </c>
      <c r="O97" s="55" t="s">
        <v>126</v>
      </c>
      <c r="P97" s="56"/>
      <c r="Q97" s="56"/>
      <c r="R97" s="56"/>
      <c r="S97" s="56"/>
      <c r="T97" s="57"/>
      <c r="U97" s="5">
        <f>COUNTIFS(   D4:D451,"Bioprocesos")</f>
        <v>2</v>
      </c>
      <c r="V97" s="5">
        <f>COUNTIFS(   D4:D451,"Bioprocesos",F4:F451,"Hombre")</f>
        <v>0</v>
      </c>
      <c r="W97" s="5">
        <f>COUNTIFS(   D4:D451,"Bioprocesos",F4:F451,"Mujer")</f>
        <v>2</v>
      </c>
      <c r="X97" s="29">
        <f>COUNTIFS(   A4:A451,"2013", D4:D451,"Bioprocesos")</f>
        <v>0</v>
      </c>
      <c r="Y97" s="5">
        <f>COUNTIFS(   A4:A451,"2014", D4:D451,"Bioprocesos")</f>
        <v>0</v>
      </c>
      <c r="Z97" s="5">
        <f>COUNTIFS(   A4:A451,"2015", D4:D451,"Bioprocesos")</f>
        <v>0</v>
      </c>
      <c r="AA97" s="5">
        <f>COUNTIFS(   A4:A451,"2016", D4:D451,"Bioprocesos")</f>
        <v>0</v>
      </c>
      <c r="AB97" s="5">
        <f>COUNTIFS(   A4:A451,"2017", D4:D451,"Bioprocesos")</f>
        <v>2</v>
      </c>
      <c r="AC97" s="29">
        <f>COUNTIFS(   N4:N451,"2014", D4:D451,"Bioprocesos")</f>
        <v>0</v>
      </c>
      <c r="AD97" s="5">
        <f>COUNTIFS(   N4:N451,"2015", D4:D451,"Bioprocesos")</f>
        <v>0</v>
      </c>
      <c r="AE97" s="5">
        <f>COUNTIFS(   N4:N451,"2016", D4:D451,"Bioprocesos")</f>
        <v>0</v>
      </c>
      <c r="AF97" s="5">
        <f>COUNTIFS(   N4:N451,"2017", D4:D451,"Bioprocesos")</f>
        <v>0</v>
      </c>
      <c r="AG97" s="5">
        <f>COUNTIFS(   N4:N451,"2018", D4:D451,"Bioprocesos")</f>
        <v>2</v>
      </c>
      <c r="AH97" s="5">
        <f>COUNTIFS(   D4:D451,"Bioprocesos",G4:G451,"Sí")</f>
        <v>2</v>
      </c>
      <c r="AI97" s="5">
        <f>COUNTIFS(   D4:D451,"Bioprocesos",G4:G451,"No")</f>
        <v>0</v>
      </c>
      <c r="AJ97" s="5">
        <f>SUMIFS( E4:E451, D4:D451,"Bioprocesos",G4:G451,"Sí")</f>
        <v>2</v>
      </c>
      <c r="AK97" s="5">
        <f>SUMIFS( E4:E451, D4:D451,"Bioprocesos",G4:G451,"No")</f>
        <v>0</v>
      </c>
      <c r="AL97" s="5">
        <f>COUNTIFS(   D4:D451,"Bioprocesos",H4:H451,"Sí")</f>
        <v>0</v>
      </c>
      <c r="AM97" s="5">
        <f>COUNTIFS(   D4:D451,"Bioprocesos",I4:I451,"Sí")</f>
        <v>0</v>
      </c>
      <c r="AN97" s="5">
        <f>COUNTIFS(   D4:D451,"Bioprocesos",I4:I451,"No")</f>
        <v>2</v>
      </c>
      <c r="AO97" s="5">
        <f>SUMIFS( E4:E451, D4:D451,"Bioprocesos",I4:I451,"Sí")</f>
        <v>0</v>
      </c>
      <c r="AP97" s="5">
        <f>SUMIFS( E4:E451, D4:D451,"Bioprocesos",I4:I451,"No")</f>
        <v>2</v>
      </c>
      <c r="AQ97" s="5">
        <f>COUNTIFS(   D4:D451,"Bioprocesos",J4:J451,"Sí")</f>
        <v>0</v>
      </c>
      <c r="AR97" s="5">
        <f>COUNTIFS(   D4:D451,"Bioprocesos",K4:K451,"Sí")</f>
        <v>1</v>
      </c>
      <c r="AS97" s="5">
        <f>COUNTIFS(   D4:D451,"Bioprocesos",L4:L451,"Sí")</f>
        <v>1</v>
      </c>
      <c r="AT97" s="5">
        <f>SUMIFS( E4:E451, D4:D451,"Bioprocesos")</f>
        <v>2</v>
      </c>
      <c r="AU97" s="5">
        <f>SUMIFS( E4:E451, F4:F451,"Hombre", D4:D451,"Bioprocesos")</f>
        <v>0</v>
      </c>
      <c r="AV97" s="5">
        <f>SUMIFS( E4:E451, F4:F451,"Mujer", D4:D451,"Bioprocesos")</f>
        <v>2</v>
      </c>
      <c r="AW97" s="29">
        <f>SUMIFS( E4:E451, A4:A451,"2013", D4:D451,"Bioprocesos")</f>
        <v>0</v>
      </c>
      <c r="AX97" s="5">
        <f>SUMIFS( E4:E451, A4:A451,"2014", D4:D451,"Bioprocesos")</f>
        <v>0</v>
      </c>
      <c r="AY97" s="5">
        <f>SUMIFS( E4:E451, A4:A451,"2015", D4:D451,"Bioprocesos")</f>
        <v>0</v>
      </c>
      <c r="AZ97" s="5">
        <f>SUMIFS( E4:E451, A4:A451,"2016", D4:D451,"Bioprocesos")</f>
        <v>0</v>
      </c>
      <c r="BA97" s="5">
        <f>SUMIFS( E4:E451, A4:A451,"2017", D4:D451,"Bioprocesos")</f>
        <v>2</v>
      </c>
      <c r="BB97" s="29">
        <f>SUMIFS( E4:E451, N4:N451,"2014", D4:D451,"Bioprocesos")</f>
        <v>0</v>
      </c>
      <c r="BC97" s="5">
        <f>SUMIFS( E4:E451, N4:N451,"2015", D4:D451,"Bioprocesos")</f>
        <v>0</v>
      </c>
      <c r="BD97" s="5">
        <f>SUMIFS( E4:E451, N4:N451,"2016", D4:D451,"Bioprocesos")</f>
        <v>0</v>
      </c>
      <c r="BE97" s="5">
        <f>SUMIFS( E4:E451, N4:N451,"2017", D4:D451,"Bioprocesos")</f>
        <v>0</v>
      </c>
      <c r="BF97" s="5">
        <f>SUMIFS( E4:E451, N4:N451,"2018", D4:D451,"Bioprocesos")</f>
        <v>2</v>
      </c>
      <c r="BG97" s="23">
        <f>AVERAGEIFS( E4:E451, D4:D451,"Bioprocesos")</f>
        <v>1</v>
      </c>
      <c r="BH97" s="23">
        <v>0</v>
      </c>
      <c r="BI97" s="23">
        <v>0</v>
      </c>
      <c r="BJ97" s="23">
        <v>0</v>
      </c>
      <c r="BK97" s="23">
        <v>0</v>
      </c>
      <c r="BL97" s="23">
        <f>AVERAGEIFS( E4:E451, A4:A451,"2017", D4:D451,"Bioprocesos")</f>
        <v>1</v>
      </c>
      <c r="BM97" s="23">
        <v>1</v>
      </c>
      <c r="BN97" s="23">
        <v>0</v>
      </c>
      <c r="BO97" s="23">
        <v>0</v>
      </c>
      <c r="BP97" s="23">
        <v>0</v>
      </c>
      <c r="BQ97" s="23">
        <v>0</v>
      </c>
      <c r="BR97" s="23">
        <v>1</v>
      </c>
    </row>
    <row r="98" spans="1:70" ht="15" customHeight="1" x14ac:dyDescent="0.25">
      <c r="A98">
        <v>2016</v>
      </c>
      <c r="B98" t="s">
        <v>4</v>
      </c>
      <c r="C98" t="s">
        <v>23</v>
      </c>
      <c r="D98" t="s">
        <v>24</v>
      </c>
      <c r="E98">
        <v>7</v>
      </c>
      <c r="F98" t="s">
        <v>215</v>
      </c>
      <c r="G98" t="s">
        <v>233</v>
      </c>
      <c r="H98" t="s">
        <v>233</v>
      </c>
      <c r="I98" t="s">
        <v>233</v>
      </c>
      <c r="J98" t="s">
        <v>234</v>
      </c>
      <c r="K98" t="s">
        <v>233</v>
      </c>
      <c r="L98" t="s">
        <v>234</v>
      </c>
      <c r="M98" s="14">
        <v>42923</v>
      </c>
      <c r="N98" s="14" t="str">
        <f t="shared" si="1"/>
        <v>2017</v>
      </c>
      <c r="O98" s="55" t="s">
        <v>131</v>
      </c>
      <c r="P98" s="56"/>
      <c r="Q98" s="56"/>
      <c r="R98" s="56"/>
      <c r="S98" s="56"/>
      <c r="T98" s="57"/>
      <c r="U98" s="5">
        <f>COUNTIFS(   D4:D451,"I+D+i en tecnología analítica instrumental")</f>
        <v>2</v>
      </c>
      <c r="V98" s="5">
        <f>COUNTIFS(   D4:D451,"I+D+i en tecnología analítica instrumental",F4:F451,"Hombre")</f>
        <v>1</v>
      </c>
      <c r="W98" s="5">
        <f>COUNTIFS(   D4:D451,"I+D+i en tecnología analítica instrumental",F4:F451,"Mujer")</f>
        <v>1</v>
      </c>
      <c r="X98" s="29">
        <f>COUNTIFS(   A4:A451,"2013", D4:D451,"I+D+i en tecnología analítica instrumental")</f>
        <v>0</v>
      </c>
      <c r="Y98" s="5">
        <f>COUNTIFS(   A4:A451,"2014", D4:D451,"I+D+i en tecnología analítica instrumental")</f>
        <v>2</v>
      </c>
      <c r="Z98" s="5">
        <f>COUNTIFS(   A4:A451,"2015", D4:D451,"I+D+i en tecnología analítica instrumental")</f>
        <v>0</v>
      </c>
      <c r="AA98" s="5">
        <f>COUNTIFS(   A4:A451,"2016", D4:D451,"I+D+i en tecnología analítica instrumental")</f>
        <v>0</v>
      </c>
      <c r="AB98" s="5">
        <f>COUNTIFS(   A4:A451,"2017", D4:D451,"I+D+i en tecnología analítica instrumental")</f>
        <v>0</v>
      </c>
      <c r="AC98" s="29">
        <f>COUNTIFS(   N4:N451,"2014", D4:D451,"I+D+i en tecnología analítica instrumental")</f>
        <v>0</v>
      </c>
      <c r="AD98" s="5">
        <f>COUNTIFS(   N4:N451,"2015", D4:D451,"I+D+i en tecnología analítica instrumental")</f>
        <v>2</v>
      </c>
      <c r="AE98" s="5">
        <f>COUNTIFS(   N4:N451,"2016", D4:D451,"I+D+i en tecnología analítica instrumental")</f>
        <v>0</v>
      </c>
      <c r="AF98" s="5">
        <f>COUNTIFS(   N4:N451,"2017", D4:D451,"I+D+i en tecnología analítica instrumental")</f>
        <v>0</v>
      </c>
      <c r="AG98" s="5">
        <f>COUNTIFS(   N4:N451,"2018", D4:D451,"I+D+i en tecnología analítica instrumental")</f>
        <v>0</v>
      </c>
      <c r="AH98" s="5">
        <f>COUNTIFS(   D4:D451,"I+D+i en tecnología analítica instrumental",G4:G451,"Sí")</f>
        <v>0</v>
      </c>
      <c r="AI98" s="5">
        <f>COUNTIFS(   D4:D451,"I+D+i en tecnología analítica instrumental",G4:G451,"No")</f>
        <v>2</v>
      </c>
      <c r="AJ98" s="5">
        <f>SUMIFS( E4:E451, D4:D451,"I+D+i en tecnología analítica instrumental",G4:G451,"Sí")</f>
        <v>0</v>
      </c>
      <c r="AK98" s="5">
        <f>SUMIFS( E4:E451, D4:D451,"I+D+i en tecnología analítica instrumental",G4:G451,"No")</f>
        <v>12</v>
      </c>
      <c r="AL98" s="5">
        <f>COUNTIFS(   D4:D451,"I+D+i en tecnología analítica instrumental",H4:H451,"Sí")</f>
        <v>0</v>
      </c>
      <c r="AM98" s="5">
        <f>COUNTIFS(   D4:D451,"I+D+i en tecnología analítica instrumental",I4:I451,"Sí")</f>
        <v>1</v>
      </c>
      <c r="AN98" s="5">
        <f>COUNTIFS(   D4:D451,"I+D+i en tecnología analítica instrumental",I4:I451,"No")</f>
        <v>1</v>
      </c>
      <c r="AO98" s="5">
        <f>SUMIFS( E4:E451, D4:D451,"I+D+i en tecnología analítica instrumental",I4:I451,"Sí")</f>
        <v>4</v>
      </c>
      <c r="AP98" s="5">
        <f>SUMIFS( E4:E451, D4:D451,"I+D+i en tecnología analítica instrumental",I4:I451,"No")</f>
        <v>8</v>
      </c>
      <c r="AQ98" s="5">
        <f>COUNTIFS(   D4:D451,"I+D+i en tecnología analítica instrumental",J4:J451,"Sí")</f>
        <v>2</v>
      </c>
      <c r="AR98" s="5">
        <f>COUNTIFS(   D4:D451,"I+D+i en tecnología analítica instrumental",K4:K451,"Sí")</f>
        <v>0</v>
      </c>
      <c r="AS98" s="5">
        <f>COUNTIFS(   D4:D451,"I+D+i en tecnología analítica instrumental",L4:L451,"Sí")</f>
        <v>2</v>
      </c>
      <c r="AT98" s="5">
        <f>SUMIFS( E4:E451, D4:D451,"I+D+i en tecnología analítica instrumental")</f>
        <v>12</v>
      </c>
      <c r="AU98" s="5">
        <f>SUMIFS( E4:E451, F4:F451,"Hombre", D4:D451,"I+D+i en tecnología analítica instrumental")</f>
        <v>4</v>
      </c>
      <c r="AV98" s="5">
        <f>SUMIFS( E4:E451, F4:F451,"Mujer", D4:D451,"I+D+i en tecnología analítica instrumental")</f>
        <v>8</v>
      </c>
      <c r="AW98" s="29">
        <f>SUMIFS( E4:E451, A4:A451,"2013", D4:D451,"I+D+i en tecnología analítica instrumental")</f>
        <v>0</v>
      </c>
      <c r="AX98" s="5">
        <f>SUMIFS( E4:E451, A4:A451,"2014", D4:D451,"I+D+i en tecnología analítica instrumental")</f>
        <v>12</v>
      </c>
      <c r="AY98" s="5">
        <f>SUMIFS( E4:E451, A4:A451,"2015", D4:D451,"I+D+i en tecnología analítica instrumental")</f>
        <v>0</v>
      </c>
      <c r="AZ98" s="5">
        <f>SUMIFS( E4:E451, A4:A451,"2016", D4:D451,"I+D+i en tecnología analítica instrumental")</f>
        <v>0</v>
      </c>
      <c r="BA98" s="5">
        <f>SUMIFS( E4:E451, A4:A451,"2017", D4:D451,"I+D+i en tecnología analítica instrumental")</f>
        <v>0</v>
      </c>
      <c r="BB98" s="29">
        <f>SUMIFS( E4:E451, N4:N451,"2014", D4:D451,"I+D+i en tecnología analítica instrumental")</f>
        <v>0</v>
      </c>
      <c r="BC98" s="5">
        <f>SUMIFS( E4:E451, N4:N451,"2015", D4:D451,"I+D+i en tecnología analítica instrumental")</f>
        <v>12</v>
      </c>
      <c r="BD98" s="5">
        <f>SUMIFS( E4:E451, N4:N451,"2016", D4:D451,"I+D+i en tecnología analítica instrumental")</f>
        <v>0</v>
      </c>
      <c r="BE98" s="5">
        <f>SUMIFS( E4:E451, N4:N451,"2017", D4:D451,"I+D+i en tecnología analítica instrumental")</f>
        <v>0</v>
      </c>
      <c r="BF98" s="5">
        <f>SUMIFS( E4:E451, N4:N451,"2018", D4:D451,"I+D+i en tecnología analítica instrumental")</f>
        <v>0</v>
      </c>
      <c r="BG98" s="23">
        <f>AVERAGEIFS( E4:E451, D4:D451,"I+D+i en tecnología analítica instrumental")</f>
        <v>6</v>
      </c>
      <c r="BH98" s="23">
        <v>0</v>
      </c>
      <c r="BI98" s="23">
        <f>AVERAGEIFS( E4:E451, A4:A451,"2014", D4:D451,"I+D+i en tecnología analítica instrumental")</f>
        <v>6</v>
      </c>
      <c r="BJ98" s="23">
        <v>0</v>
      </c>
      <c r="BK98" s="23">
        <v>0</v>
      </c>
      <c r="BL98" s="23">
        <v>0</v>
      </c>
      <c r="BM98" s="23">
        <v>6</v>
      </c>
      <c r="BN98" s="23">
        <v>0</v>
      </c>
      <c r="BO98" s="23">
        <v>6</v>
      </c>
      <c r="BP98" s="23">
        <v>0</v>
      </c>
      <c r="BQ98" s="23">
        <v>0</v>
      </c>
      <c r="BR98" s="23">
        <v>0</v>
      </c>
    </row>
    <row r="99" spans="1:70" ht="15" customHeight="1" x14ac:dyDescent="0.25">
      <c r="A99">
        <v>2016</v>
      </c>
      <c r="B99" t="s">
        <v>4</v>
      </c>
      <c r="C99" t="s">
        <v>23</v>
      </c>
      <c r="D99" t="s">
        <v>29</v>
      </c>
      <c r="E99">
        <v>2</v>
      </c>
      <c r="F99" t="s">
        <v>215</v>
      </c>
      <c r="G99" t="s">
        <v>233</v>
      </c>
      <c r="H99" t="s">
        <v>233</v>
      </c>
      <c r="I99" t="s">
        <v>233</v>
      </c>
      <c r="J99" t="s">
        <v>234</v>
      </c>
      <c r="K99" t="s">
        <v>233</v>
      </c>
      <c r="L99" t="s">
        <v>234</v>
      </c>
      <c r="M99" s="14">
        <v>42923</v>
      </c>
      <c r="N99" s="14" t="str">
        <f t="shared" si="1"/>
        <v>2017</v>
      </c>
      <c r="O99" s="55" t="s">
        <v>125</v>
      </c>
      <c r="P99" s="56"/>
      <c r="Q99" s="56"/>
      <c r="R99" s="56"/>
      <c r="S99" s="56"/>
      <c r="T99" s="57"/>
      <c r="U99" s="5">
        <f>COUNTIFS(   D4:D451,"Metodologías de obtención de información analítica en sistemas reales")</f>
        <v>6</v>
      </c>
      <c r="V99" s="5">
        <f>COUNTIFS(   D4:D451,"Metodologías de obtención de información analítica en sistemas reales",F4:F451,"Hombre")</f>
        <v>1</v>
      </c>
      <c r="W99" s="5">
        <f>COUNTIFS(   D4:D451,"Metodologías de obtención de información analítica en sistemas reales",F4:F451,"Mujer")</f>
        <v>5</v>
      </c>
      <c r="X99" s="29">
        <f>COUNTIFS(   A4:A451,"2013", D4:D451,"Metodologías de obtención de información analítica en sistemas reales")</f>
        <v>0</v>
      </c>
      <c r="Y99" s="5">
        <f>COUNTIFS(   A4:A451,"2014", D4:D451,"Metodologías de obtención de información analítica en sistemas reales")</f>
        <v>0</v>
      </c>
      <c r="Z99" s="5">
        <f>COUNTIFS(   A4:A451,"2015", D4:D451,"Metodologías de obtención de información analítica en sistemas reales")</f>
        <v>0</v>
      </c>
      <c r="AA99" s="5">
        <f>COUNTIFS(   A4:A451,"2016", D4:D451,"Metodologías de obtención de información analítica en sistemas reales")</f>
        <v>3</v>
      </c>
      <c r="AB99" s="5">
        <f>COUNTIFS(   A4:A451,"2017", D4:D451,"Metodologías de obtención de información analítica en sistemas reales")</f>
        <v>3</v>
      </c>
      <c r="AC99" s="29">
        <f>COUNTIFS(   N4:N451,"2014", D4:D451,"Metodologías de obtención de información analítica en sistemas reales")</f>
        <v>0</v>
      </c>
      <c r="AD99" s="5">
        <f>COUNTIFS(   N4:N451,"2015", D4:D451,"Metodologías de obtención de información analítica en sistemas reales")</f>
        <v>0</v>
      </c>
      <c r="AE99" s="5">
        <f>COUNTIFS(   N4:N451,"2016", D4:D451,"Metodologías de obtención de información analítica en sistemas reales")</f>
        <v>0</v>
      </c>
      <c r="AF99" s="5">
        <f>COUNTIFS(   N4:N451,"2017", D4:D451,"Metodologías de obtención de información analítica en sistemas reales")</f>
        <v>4</v>
      </c>
      <c r="AG99" s="5">
        <f>COUNTIFS(   N4:N451,"2018", D4:D451,"Metodologías de obtención de información analítica en sistemas reales")</f>
        <v>2</v>
      </c>
      <c r="AH99" s="5">
        <f>COUNTIFS(   D4:D451,"Metodologías de obtención de información analítica en sistemas reales",G4:G451,"Sí")</f>
        <v>0</v>
      </c>
      <c r="AI99" s="5">
        <f>COUNTIFS(   D4:D451,"Metodologías de obtención de información analítica en sistemas reales",G4:G451,"No")</f>
        <v>6</v>
      </c>
      <c r="AJ99" s="5">
        <f>SUMIFS( E4:E451, D4:D451,"Metodologías de obtención de información analítica en sistemas reales",G4:G451,"Sí")</f>
        <v>0</v>
      </c>
      <c r="AK99" s="5">
        <f>SUMIFS( E4:E451, D4:D451,"Metodologías de obtención de información analítica en sistemas reales",G4:G451,"No")</f>
        <v>76</v>
      </c>
      <c r="AL99" s="5">
        <f>COUNTIFS(   D4:D451,"Metodologías de obtención de información analítica en sistemas reales",H4:H451,"Sí")</f>
        <v>1</v>
      </c>
      <c r="AM99" s="5">
        <f>COUNTIFS(   D4:D451,"Metodologías de obtención de información analítica en sistemas reales",I4:I451,"Sí")</f>
        <v>3</v>
      </c>
      <c r="AN99" s="5">
        <f>COUNTIFS(   D4:D451,"Metodologías de obtención de información analítica en sistemas reales",I4:I451,"No")</f>
        <v>3</v>
      </c>
      <c r="AO99" s="5">
        <f>SUMIFS( E4:E451, D4:D451,"Metodologías de obtención de información analítica en sistemas reales",I4:I451,"Sí")</f>
        <v>23</v>
      </c>
      <c r="AP99" s="5">
        <f>SUMIFS( E4:E451, D4:D451,"Metodologías de obtención de información analítica en sistemas reales",I4:I451,"No")</f>
        <v>53</v>
      </c>
      <c r="AQ99" s="5">
        <f>COUNTIFS(   D4:D451,"Metodologías de obtención de información analítica en sistemas reales",J4:J451,"Sí")</f>
        <v>6</v>
      </c>
      <c r="AR99" s="5">
        <f>COUNTIFS(   D4:D451,"Metodologías de obtención de información analítica en sistemas reales",K4:K451,"Sí")</f>
        <v>3</v>
      </c>
      <c r="AS99" s="5">
        <f>COUNTIFS(   D4:D451,"Metodologías de obtención de información analítica en sistemas reales",L4:L451,"Sí")</f>
        <v>6</v>
      </c>
      <c r="AT99" s="5">
        <f>SUMIFS( E4:E451, D4:D451,"Metodologías de obtención de información analítica en sistemas reales")</f>
        <v>76</v>
      </c>
      <c r="AU99" s="5">
        <f>SUMIFS( E4:E451, F4:F451,"Hombre", D4:D451,"Metodologías de obtención de información analítica en sistemas reales")</f>
        <v>8</v>
      </c>
      <c r="AV99" s="5">
        <f>SUMIFS( E4:E451, F4:F451,"Mujer", D4:D451,"Metodologías de obtención de información analítica en sistemas reales")</f>
        <v>68</v>
      </c>
      <c r="AW99" s="29">
        <f>SUMIFS( E4:E451, A4:A451,"2013", D4:D451,"Metodologías de obtención de información analítica en sistemas reales")</f>
        <v>0</v>
      </c>
      <c r="AX99" s="5">
        <f>SUMIFS( E4:E451, A4:A451,"2014", D4:D451,"Metodologías de obtención de información analítica en sistemas reales")</f>
        <v>0</v>
      </c>
      <c r="AY99" s="5">
        <f>SUMIFS( E4:E451, A4:A451,"2015", D4:D451,"Metodologías de obtención de información analítica en sistemas reales")</f>
        <v>0</v>
      </c>
      <c r="AZ99" s="5">
        <f>SUMIFS( E4:E451, A4:A451,"2016", D4:D451,"Metodologías de obtención de información analítica en sistemas reales")</f>
        <v>27</v>
      </c>
      <c r="BA99" s="5">
        <f>SUMIFS( E4:E451, A4:A451,"2017", D4:D451,"Metodologías de obtención de información analítica en sistemas reales")</f>
        <v>49</v>
      </c>
      <c r="BB99" s="29">
        <f>SUMIFS( E4:E451, N4:N451,"2014", D4:D451,"Metodologías de obtención de información analítica en sistemas reales")</f>
        <v>0</v>
      </c>
      <c r="BC99" s="5">
        <f>SUMIFS( E4:E451, N4:N451,"2015", D4:D451,"Metodologías de obtención de información analítica en sistemas reales")</f>
        <v>0</v>
      </c>
      <c r="BD99" s="5">
        <f>SUMIFS( E4:E451, N4:N451,"2016", D4:D451,"Metodologías de obtención de información analítica en sistemas reales")</f>
        <v>0</v>
      </c>
      <c r="BE99" s="5">
        <f>SUMIFS( E4:E451, N4:N451,"2017", D4:D451,"Metodologías de obtención de información analítica en sistemas reales")</f>
        <v>64</v>
      </c>
      <c r="BF99" s="5">
        <f>SUMIFS( E4:E451, N4:N451,"2018", D4:D451,"Metodologías de obtención de información analítica en sistemas reales")</f>
        <v>12</v>
      </c>
      <c r="BG99" s="23">
        <f>AVERAGEIFS( E4:E451, D4:D451,"Metodologías de obtención de información analítica en sistemas reales")</f>
        <v>12.666666666666666</v>
      </c>
      <c r="BH99" s="23">
        <v>0</v>
      </c>
      <c r="BI99" s="23">
        <v>0</v>
      </c>
      <c r="BJ99" s="23">
        <v>0</v>
      </c>
      <c r="BK99" s="23">
        <f>AVERAGEIFS( E4:E451, A4:A451,"2016", D4:D451,"Metodologías de obtención de información analítica en sistemas reales")</f>
        <v>9</v>
      </c>
      <c r="BL99" s="23">
        <f>AVERAGEIFS( E4:E451, A4:A451,"2017", D4:D451,"Metodologías de obtención de información analítica en sistemas reales")</f>
        <v>16.333333333333332</v>
      </c>
      <c r="BM99" s="23">
        <v>12.666666666666666</v>
      </c>
      <c r="BN99" s="23">
        <v>0</v>
      </c>
      <c r="BO99" s="23">
        <v>0</v>
      </c>
      <c r="BP99" s="23">
        <v>0</v>
      </c>
      <c r="BQ99" s="23">
        <v>9</v>
      </c>
      <c r="BR99" s="23">
        <v>16.333333333333332</v>
      </c>
    </row>
    <row r="100" spans="1:70" ht="15" customHeight="1" x14ac:dyDescent="0.25">
      <c r="A100">
        <v>2016</v>
      </c>
      <c r="B100" t="s">
        <v>4</v>
      </c>
      <c r="C100" t="s">
        <v>23</v>
      </c>
      <c r="D100" t="s">
        <v>27</v>
      </c>
      <c r="E100">
        <v>4</v>
      </c>
      <c r="F100" t="s">
        <v>215</v>
      </c>
      <c r="G100" t="s">
        <v>233</v>
      </c>
      <c r="H100" t="s">
        <v>233</v>
      </c>
      <c r="I100" t="s">
        <v>233</v>
      </c>
      <c r="J100" t="s">
        <v>234</v>
      </c>
      <c r="K100" t="s">
        <v>233</v>
      </c>
      <c r="L100" t="s">
        <v>234</v>
      </c>
      <c r="M100" s="14">
        <v>42923</v>
      </c>
      <c r="N100" s="14" t="str">
        <f t="shared" si="1"/>
        <v>2017</v>
      </c>
      <c r="O100" s="55" t="s">
        <v>130</v>
      </c>
      <c r="P100" s="56"/>
      <c r="Q100" s="56"/>
      <c r="R100" s="56"/>
      <c r="S100" s="56"/>
      <c r="T100" s="57"/>
      <c r="U100" s="5">
        <f>COUNTIFS(   D4:D451,"Plegamiento de proteínas e interacción con ligandos")</f>
        <v>1</v>
      </c>
      <c r="V100" s="5">
        <f>COUNTIFS(   D4:D451,"Plegamiento de proteínas e interacción con ligandos",F4:F451,"Hombre")</f>
        <v>1</v>
      </c>
      <c r="W100" s="5">
        <f>COUNTIFS(   D4:D451,"Plegamiento de proteínas e interacción con ligandos",F4:F451,"Mujer")</f>
        <v>0</v>
      </c>
      <c r="X100" s="29">
        <f>COUNTIFS(   A4:A451,"2013", D4:D451,"Plegamiento de proteínas e interacción con ligandos")</f>
        <v>0</v>
      </c>
      <c r="Y100" s="5">
        <f>COUNTIFS(   A4:A451,"2014", D4:D451,"Plegamiento de proteínas e interacción con ligandos")</f>
        <v>0</v>
      </c>
      <c r="Z100" s="5">
        <f>COUNTIFS(   A4:A451,"2015", D4:D451,"Plegamiento de proteínas e interacción con ligandos")</f>
        <v>1</v>
      </c>
      <c r="AA100" s="5">
        <f>COUNTIFS(   A4:A451,"2016", D4:D451,"Plegamiento de proteínas e interacción con ligandos")</f>
        <v>0</v>
      </c>
      <c r="AB100" s="5">
        <f>COUNTIFS(   A4:A451,"2017", D4:D451,"Plegamiento de proteínas e interacción con ligandos")</f>
        <v>0</v>
      </c>
      <c r="AC100" s="29">
        <f>COUNTIFS(   N4:N451,"2014", D4:D451,"Plegamiento de proteínas e interacción con ligandos")</f>
        <v>0</v>
      </c>
      <c r="AD100" s="5">
        <f>COUNTIFS(   N4:N451,"2015", D4:D451,"Plegamiento de proteínas e interacción con ligandos")</f>
        <v>0</v>
      </c>
      <c r="AE100" s="5">
        <f>COUNTIFS(   N4:N451,"2016", D4:D451,"Plegamiento de proteínas e interacción con ligandos")</f>
        <v>1</v>
      </c>
      <c r="AF100" s="5">
        <f>COUNTIFS(   N4:N451,"2017", D4:D451,"Plegamiento de proteínas e interacción con ligandos")</f>
        <v>0</v>
      </c>
      <c r="AG100" s="5">
        <f>COUNTIFS(   N4:N451,"2018", D4:D451,"Plegamiento de proteínas e interacción con ligandos")</f>
        <v>0</v>
      </c>
      <c r="AH100" s="5">
        <f>COUNTIFS(   D4:D451,"Plegamiento de proteínas e interacción con ligandos",G4:G451,"Sí")</f>
        <v>0</v>
      </c>
      <c r="AI100" s="5">
        <f>COUNTIFS(   D4:D451,"Plegamiento de proteínas e interacción con ligandos",G4:G451,"No")</f>
        <v>1</v>
      </c>
      <c r="AJ100" s="5">
        <f>SUMIFS( E4:E451, D4:D451,"Plegamiento de proteínas e interacción con ligandos",G4:G451,"Sí")</f>
        <v>0</v>
      </c>
      <c r="AK100" s="5">
        <f>SUMIFS( E4:E451, D4:D451,"Plegamiento de proteínas e interacción con ligandos",G4:G451,"No")</f>
        <v>2</v>
      </c>
      <c r="AL100" s="5">
        <f>COUNTIFS(   D4:D451,"Plegamiento de proteínas e interacción con ligandos",H4:H451,"Sí")</f>
        <v>0</v>
      </c>
      <c r="AM100" s="5">
        <f>COUNTIFS(   D4:D451,"Plegamiento de proteínas e interacción con ligandos",I4:I451,"Sí")</f>
        <v>1</v>
      </c>
      <c r="AN100" s="5">
        <f>COUNTIFS(   D4:D451,"Plegamiento de proteínas e interacción con ligandos",I4:I451,"No")</f>
        <v>0</v>
      </c>
      <c r="AO100" s="5">
        <f>SUMIFS( E4:E451, D4:D451,"Plegamiento de proteínas e interacción con ligandos",I4:I451,"Sí")</f>
        <v>2</v>
      </c>
      <c r="AP100" s="5">
        <f>SUMIFS( E4:E451, D4:D451,"Plegamiento de proteínas e interacción con ligandos",I4:I451,"No")</f>
        <v>0</v>
      </c>
      <c r="AQ100" s="5">
        <f>COUNTIFS(   D4:D451,"Plegamiento de proteínas e interacción con ligandos",J4:J451,"Sí")</f>
        <v>0</v>
      </c>
      <c r="AR100" s="5">
        <f>COUNTIFS(   D4:D451,"Plegamiento de proteínas e interacción con ligandos",K4:K451,"Sí")</f>
        <v>0</v>
      </c>
      <c r="AS100" s="5">
        <f>COUNTIFS(   D4:D451,"Plegamiento de proteínas e interacción con ligandos",L4:L451,"Sí")</f>
        <v>1</v>
      </c>
      <c r="AT100" s="5">
        <f>SUMIFS( E4:E451, D4:D451,"Plegamiento de proteínas e interacción con ligandos")</f>
        <v>2</v>
      </c>
      <c r="AU100" s="5">
        <f>SUMIFS( E4:E451, F4:F451,"Hombre", D4:D451,"Plegamiento de proteínas e interacción con ligandos")</f>
        <v>2</v>
      </c>
      <c r="AV100" s="5">
        <f>SUMIFS( E4:E451, F4:F451,"Mujer", D4:D451,"Plegamiento de proteínas e interacción con ligandos")</f>
        <v>0</v>
      </c>
      <c r="AW100" s="29">
        <f>SUMIFS( E4:E451, A4:A451,"2013", D4:D451,"Plegamiento de proteínas e interacción con ligandos")</f>
        <v>0</v>
      </c>
      <c r="AX100" s="5">
        <f>SUMIFS( E4:E451, A4:A451,"2014", D4:D451,"Plegamiento de proteínas e interacción con ligandos")</f>
        <v>0</v>
      </c>
      <c r="AY100" s="5">
        <f>SUMIFS( E4:E451, A4:A451,"2015", D4:D451,"Plegamiento de proteínas e interacción con ligandos")</f>
        <v>2</v>
      </c>
      <c r="AZ100" s="5">
        <f>SUMIFS( E4:E451, A4:A451,"2016", D4:D451,"Plegamiento de proteínas e interacción con ligandos")</f>
        <v>0</v>
      </c>
      <c r="BA100" s="5">
        <f>SUMIFS( E4:E451, A4:A451,"2017", D4:D451,"Plegamiento de proteínas e interacción con ligandos")</f>
        <v>0</v>
      </c>
      <c r="BB100" s="29">
        <f>SUMIFS( E4:E451, N4:N451,"2014", D4:D451,"Plegamiento de proteínas e interacción con ligandos")</f>
        <v>0</v>
      </c>
      <c r="BC100" s="5">
        <f>SUMIFS( E4:E451, N4:N451,"2015", D4:D451,"Plegamiento de proteínas e interacción con ligandos")</f>
        <v>0</v>
      </c>
      <c r="BD100" s="5">
        <f>SUMIFS( E4:E451, N4:N451,"2016", D4:D451,"Plegamiento de proteínas e interacción con ligandos")</f>
        <v>2</v>
      </c>
      <c r="BE100" s="5">
        <f>SUMIFS( E4:E451, N4:N451,"2017", D4:D451,"Plegamiento de proteínas e interacción con ligandos")</f>
        <v>0</v>
      </c>
      <c r="BF100" s="5">
        <f>SUMIFS( E4:E451, N4:N451,"2018", D4:D451,"Plegamiento de proteínas e interacción con ligandos")</f>
        <v>0</v>
      </c>
      <c r="BG100" s="23">
        <f>AVERAGEIFS( E4:E451, D4:D451,"Plegamiento de proteínas e interacción con ligandos")</f>
        <v>2</v>
      </c>
      <c r="BH100" s="23">
        <v>0</v>
      </c>
      <c r="BI100" s="23">
        <v>0</v>
      </c>
      <c r="BJ100" s="23">
        <f>AVERAGEIFS( E4:E451, A4:A451,"2015", D4:D451,"Plegamiento de proteínas e interacción con ligandos")</f>
        <v>2</v>
      </c>
      <c r="BK100" s="23">
        <v>0</v>
      </c>
      <c r="BL100" s="23">
        <v>0</v>
      </c>
      <c r="BM100" s="23">
        <v>2</v>
      </c>
      <c r="BN100" s="23">
        <v>0</v>
      </c>
      <c r="BO100" s="23">
        <v>0</v>
      </c>
      <c r="BP100" s="23">
        <v>2</v>
      </c>
      <c r="BQ100" s="23">
        <v>0</v>
      </c>
      <c r="BR100" s="23">
        <v>0</v>
      </c>
    </row>
    <row r="101" spans="1:70" ht="15" customHeight="1" x14ac:dyDescent="0.25">
      <c r="A101">
        <v>2016</v>
      </c>
      <c r="B101" t="s">
        <v>4</v>
      </c>
      <c r="C101" t="s">
        <v>23</v>
      </c>
      <c r="D101" t="s">
        <v>27</v>
      </c>
      <c r="E101">
        <v>11</v>
      </c>
      <c r="F101" t="s">
        <v>215</v>
      </c>
      <c r="G101" t="s">
        <v>233</v>
      </c>
      <c r="H101" t="s">
        <v>233</v>
      </c>
      <c r="I101" t="s">
        <v>233</v>
      </c>
      <c r="J101" t="s">
        <v>234</v>
      </c>
      <c r="K101" t="s">
        <v>233</v>
      </c>
      <c r="L101" t="s">
        <v>234</v>
      </c>
      <c r="M101" s="14">
        <v>42912</v>
      </c>
      <c r="N101" s="14" t="str">
        <f t="shared" si="1"/>
        <v>2017</v>
      </c>
      <c r="O101" s="55" t="s">
        <v>127</v>
      </c>
      <c r="P101" s="56"/>
      <c r="Q101" s="56"/>
      <c r="R101" s="56"/>
      <c r="S101" s="56"/>
      <c r="T101" s="57"/>
      <c r="U101" s="5">
        <f>COUNTIFS(   D4:D451,"Proteómica e ingeniería de proteínas")</f>
        <v>1</v>
      </c>
      <c r="V101" s="5">
        <f>COUNTIFS(   D4:D451,"Proteómica e ingeniería de proteínas",F4:F451,"Hombre")</f>
        <v>0</v>
      </c>
      <c r="W101" s="5">
        <f>COUNTIFS(   D4:D451,"Proteómica e ingeniería de proteínas",F4:F451,"Mujer")</f>
        <v>1</v>
      </c>
      <c r="X101" s="29">
        <f>COUNTIFS(   A4:A451,"2013", D4:D451,"Proteómica e ingeniería de proteínas")</f>
        <v>0</v>
      </c>
      <c r="Y101" s="5">
        <f>COUNTIFS(   A4:A451,"2014", D4:D451,"Proteómica e ingeniería de proteínas")</f>
        <v>0</v>
      </c>
      <c r="Z101" s="5">
        <f>COUNTIFS(   A4:A451,"2015", D4:D451,"Proteómica e ingeniería de proteínas")</f>
        <v>0</v>
      </c>
      <c r="AA101" s="5">
        <f>COUNTIFS(   A4:A451,"2016", D4:D451,"Proteómica e ingeniería de proteínas")</f>
        <v>0</v>
      </c>
      <c r="AB101" s="5">
        <f>COUNTIFS(   A4:A451,"2017", D4:D451,"Proteómica e ingeniería de proteínas")</f>
        <v>1</v>
      </c>
      <c r="AC101" s="29">
        <f>COUNTIFS(   N4:N451,"2014", D4:D451,"Proteómica e ingeniería de proteínas")</f>
        <v>0</v>
      </c>
      <c r="AD101" s="5">
        <f>COUNTIFS(   N4:N451,"2015", D4:D451,"Proteómica e ingeniería de proteínas")</f>
        <v>0</v>
      </c>
      <c r="AE101" s="5">
        <f>COUNTIFS(   N4:N451,"2016", D4:D451,"Proteómica e ingeniería de proteínas")</f>
        <v>0</v>
      </c>
      <c r="AF101" s="5">
        <f>COUNTIFS(   N4:N451,"2017", D4:D451,"Proteómica e ingeniería de proteínas")</f>
        <v>0</v>
      </c>
      <c r="AG101" s="5">
        <f>COUNTIFS(   N4:N451,"2018", D4:D451,"Proteómica e ingeniería de proteínas")</f>
        <v>1</v>
      </c>
      <c r="AH101" s="5">
        <f>COUNTIFS(   D4:D451,"Proteómica e ingeniería de proteínas",G4:G451,"Sí")</f>
        <v>0</v>
      </c>
      <c r="AI101" s="5">
        <f>COUNTIFS(   D4:D451,"Proteómica e ingeniería de proteínas",G4:G451,"No")</f>
        <v>1</v>
      </c>
      <c r="AJ101" s="5">
        <f>SUMIFS( E4:E451, D4:D451,"Proteómica e ingeniería de proteínas",G4:G451,"Sí")</f>
        <v>0</v>
      </c>
      <c r="AK101" s="5">
        <f>SUMIFS( E4:E451, D4:D451,"Proteómica e ingeniería de proteínas",G4:G451,"No")</f>
        <v>2</v>
      </c>
      <c r="AL101" s="5">
        <f>COUNTIFS(   D4:D451,"Proteómica e ingeniería de proteínas",H4:H451,"Sí")</f>
        <v>0</v>
      </c>
      <c r="AM101" s="5">
        <f>COUNTIFS(   D4:D451,"Proteómica e ingeniería de proteínas",I4:I451,"Sí")</f>
        <v>0</v>
      </c>
      <c r="AN101" s="5">
        <f>COUNTIFS(   D4:D451,"Proteómica e ingeniería de proteínas",I4:I451,"No")</f>
        <v>1</v>
      </c>
      <c r="AO101" s="5">
        <f>SUMIFS( E4:E451, D4:D451,"Proteómica e ingeniería de proteínas",I4:I451,"Sí")</f>
        <v>0</v>
      </c>
      <c r="AP101" s="5">
        <f>SUMIFS( E4:E451, D4:D451,"Proteómica e ingeniería de proteínas",I4:I451,"No")</f>
        <v>2</v>
      </c>
      <c r="AQ101" s="5">
        <f>COUNTIFS(   D4:D451,"Proteómica e ingeniería de proteínas",J4:J451,"Sí")</f>
        <v>0</v>
      </c>
      <c r="AR101" s="5">
        <f>COUNTIFS(   D4:D451,"Proteómica e ingeniería de proteínas",K4:K451,"Sí")</f>
        <v>1</v>
      </c>
      <c r="AS101" s="5">
        <f>COUNTIFS(   D4:D451,"Proteómica e ingeniería de proteínas",L4:L451,"Sí")</f>
        <v>1</v>
      </c>
      <c r="AT101" s="5">
        <f>SUMIFS( E4:E451, D4:D451,"Proteómica e ingeniería de proteínas")</f>
        <v>2</v>
      </c>
      <c r="AU101" s="5">
        <f>SUMIFS( E4:E451, F4:F451,"Hombre", D4:D451,"Proteómica e ingeniería de proteínas")</f>
        <v>0</v>
      </c>
      <c r="AV101" s="5">
        <f>SUMIFS( E4:E451, F4:F451,"Mujer", D4:D451,"Proteómica e ingeniería de proteínas")</f>
        <v>2</v>
      </c>
      <c r="AW101" s="29">
        <f>SUMIFS( E4:E451, A4:A451,"2013", D4:D451,"Proteómica e ingeniería de proteínas")</f>
        <v>0</v>
      </c>
      <c r="AX101" s="5">
        <f>SUMIFS( E4:E451, A4:A451,"2014", D4:D451,"Proteómica e ingeniería de proteínas")</f>
        <v>0</v>
      </c>
      <c r="AY101" s="5">
        <f>SUMIFS( E4:E451, A4:A451,"2015", D4:D451,"Proteómica e ingeniería de proteínas")</f>
        <v>0</v>
      </c>
      <c r="AZ101" s="5">
        <f>SUMIFS( E4:E451, A4:A451,"2016", D4:D451,"Proteómica e ingeniería de proteínas")</f>
        <v>0</v>
      </c>
      <c r="BA101" s="5">
        <f>SUMIFS( E4:E451, A4:A451,"2017", D4:D451,"Proteómica e ingeniería de proteínas")</f>
        <v>2</v>
      </c>
      <c r="BB101" s="29">
        <f>SUMIFS( E4:E451, N4:N451,"2014", D4:D451,"Proteómica e ingeniería de proteínas")</f>
        <v>0</v>
      </c>
      <c r="BC101" s="5">
        <f>SUMIFS( E4:E451, N4:N451,"2015", D4:D451,"Proteómica e ingeniería de proteínas")</f>
        <v>0</v>
      </c>
      <c r="BD101" s="5">
        <f>SUMIFS( E4:E451, N4:N451,"2016", D4:D451,"Proteómica e ingeniería de proteínas")</f>
        <v>0</v>
      </c>
      <c r="BE101" s="5">
        <f>SUMIFS( E4:E451, N4:N451,"2017", D4:D451,"Proteómica e ingeniería de proteínas")</f>
        <v>0</v>
      </c>
      <c r="BF101" s="5">
        <f>SUMIFS( E4:E451, N4:N451,"2018", D4:D451,"Proteómica e ingeniería de proteínas")</f>
        <v>2</v>
      </c>
      <c r="BG101" s="23">
        <f>AVERAGEIFS( E4:E451, D4:D451,"Proteómica e ingeniería de proteínas")</f>
        <v>2</v>
      </c>
      <c r="BH101" s="23">
        <v>0</v>
      </c>
      <c r="BI101" s="23">
        <v>0</v>
      </c>
      <c r="BJ101" s="23">
        <v>0</v>
      </c>
      <c r="BK101" s="23">
        <v>0</v>
      </c>
      <c r="BL101" s="23">
        <f>AVERAGEIFS( E4:E451, A4:A451,"2017", D4:D451,"Proteómica e ingeniería de proteínas")</f>
        <v>2</v>
      </c>
      <c r="BM101" s="23">
        <v>2</v>
      </c>
      <c r="BN101" s="23">
        <v>0</v>
      </c>
      <c r="BO101" s="23">
        <v>0</v>
      </c>
      <c r="BP101" s="23">
        <v>0</v>
      </c>
      <c r="BQ101" s="23">
        <v>0</v>
      </c>
      <c r="BR101" s="23">
        <v>2</v>
      </c>
    </row>
    <row r="102" spans="1:70" ht="15" customHeight="1" x14ac:dyDescent="0.25">
      <c r="A102">
        <v>2016</v>
      </c>
      <c r="B102" t="s">
        <v>4</v>
      </c>
      <c r="C102" t="s">
        <v>23</v>
      </c>
      <c r="D102" t="s">
        <v>26</v>
      </c>
      <c r="E102">
        <v>4</v>
      </c>
      <c r="F102" t="s">
        <v>211</v>
      </c>
      <c r="G102" t="s">
        <v>233</v>
      </c>
      <c r="H102" t="s">
        <v>233</v>
      </c>
      <c r="I102" t="s">
        <v>233</v>
      </c>
      <c r="J102" t="s">
        <v>234</v>
      </c>
      <c r="K102" t="s">
        <v>233</v>
      </c>
      <c r="L102" t="s">
        <v>234</v>
      </c>
      <c r="M102" s="14">
        <v>42818</v>
      </c>
      <c r="N102" s="14" t="str">
        <f t="shared" si="1"/>
        <v>2017</v>
      </c>
      <c r="O102" s="55" t="s">
        <v>129</v>
      </c>
      <c r="P102" s="56"/>
      <c r="Q102" s="56"/>
      <c r="R102" s="56"/>
      <c r="S102" s="56"/>
      <c r="T102" s="57"/>
      <c r="U102" s="5">
        <f>COUNTIFS(   D4:D451,"Química de la coordinación")</f>
        <v>5</v>
      </c>
      <c r="V102" s="5">
        <f>COUNTIFS(   D4:D451,"Química de la coordinación",F4:F451,"Hombre")</f>
        <v>3</v>
      </c>
      <c r="W102" s="5">
        <f>COUNTIFS(   D4:D451,"Química de la coordinación",F4:F451,"Mujer")</f>
        <v>2</v>
      </c>
      <c r="X102" s="29">
        <f>COUNTIFS(   A4:A451,"2013", D4:D451,"Química de la coordinación")</f>
        <v>0</v>
      </c>
      <c r="Y102" s="5">
        <f>COUNTIFS(   A4:A451,"2014", D4:D451,"Química de la coordinación")</f>
        <v>0</v>
      </c>
      <c r="Z102" s="5">
        <f>COUNTIFS(   A4:A451,"2015", D4:D451,"Química de la coordinación")</f>
        <v>0</v>
      </c>
      <c r="AA102" s="5">
        <f>COUNTIFS(   A4:A451,"2016", D4:D451,"Química de la coordinación")</f>
        <v>1</v>
      </c>
      <c r="AB102" s="5">
        <f>COUNTIFS(   A4:A451,"2017", D4:D451,"Química de la coordinación")</f>
        <v>4</v>
      </c>
      <c r="AC102" s="29">
        <f>COUNTIFS(   N4:N451,"2014", D4:D451,"Química de la coordinación")</f>
        <v>0</v>
      </c>
      <c r="AD102" s="5">
        <f>COUNTIFS(   N4:N451,"2015", D4:D451,"Química de la coordinación")</f>
        <v>0</v>
      </c>
      <c r="AE102" s="5">
        <f>COUNTIFS(   N4:N451,"2016", D4:D451,"Química de la coordinación")</f>
        <v>0</v>
      </c>
      <c r="AF102" s="5">
        <f>COUNTIFS(   N4:N451,"2017", D4:D451,"Química de la coordinación")</f>
        <v>4</v>
      </c>
      <c r="AG102" s="5">
        <f>COUNTIFS(   N4:N451,"2018", D4:D451,"Química de la coordinación")</f>
        <v>1</v>
      </c>
      <c r="AH102" s="5">
        <f>COUNTIFS(   D4:D451,"Química de la coordinación",G4:G451,"Sí")</f>
        <v>0</v>
      </c>
      <c r="AI102" s="5">
        <f>COUNTIFS(   D4:D451,"Química de la coordinación",G4:G451,"No")</f>
        <v>5</v>
      </c>
      <c r="AJ102" s="5">
        <f>SUMIFS( E4:E451, D4:D451,"Química de la coordinación",G4:G451,"Sí")</f>
        <v>0</v>
      </c>
      <c r="AK102" s="5">
        <f>SUMIFS( E4:E451, D4:D451,"Química de la coordinación",G4:G451,"No")</f>
        <v>33</v>
      </c>
      <c r="AL102" s="5">
        <f>COUNTIFS(   D4:D451,"Química de la coordinación",H4:H451,"Sí")</f>
        <v>3</v>
      </c>
      <c r="AM102" s="5">
        <f>COUNTIFS(   D4:D451,"Química de la coordinación",I4:I451,"Sí")</f>
        <v>5</v>
      </c>
      <c r="AN102" s="5">
        <f>COUNTIFS(   D4:D451,"Química de la coordinación",I4:I451,"No")</f>
        <v>0</v>
      </c>
      <c r="AO102" s="5">
        <f>SUMIFS( E4:E451, D4:D451,"Química de la coordinación",I4:I451,"Sí")</f>
        <v>33</v>
      </c>
      <c r="AP102" s="5">
        <f>SUMIFS( E4:E451, D4:D451,"Química de la coordinación",I4:I451,"No")</f>
        <v>0</v>
      </c>
      <c r="AQ102" s="5">
        <f>COUNTIFS(   D4:D451,"Química de la coordinación",J4:J451,"Sí")</f>
        <v>4</v>
      </c>
      <c r="AR102" s="5">
        <f>COUNTIFS(   D4:D451,"Química de la coordinación",K4:K451,"Sí")</f>
        <v>4</v>
      </c>
      <c r="AS102" s="5">
        <f>COUNTIFS(   D4:D451,"Química de la coordinación",L4:L451,"Sí")</f>
        <v>5</v>
      </c>
      <c r="AT102" s="5">
        <f>SUMIFS( E4:E451, D4:D451,"Química de la coordinación")</f>
        <v>33</v>
      </c>
      <c r="AU102" s="5">
        <f>SUMIFS( E4:E451, F4:F451,"Hombre", D4:D451,"Química de la coordinación")</f>
        <v>23</v>
      </c>
      <c r="AV102" s="5">
        <f>SUMIFS( E4:E451, F4:F451,"Mujer", D4:D451,"Química de la coordinación")</f>
        <v>10</v>
      </c>
      <c r="AW102" s="29">
        <f>SUMIFS( E4:E451, A4:A451,"2013", D4:D451,"Química de la coordinación")</f>
        <v>0</v>
      </c>
      <c r="AX102" s="5">
        <f>SUMIFS( E4:E451, A4:A451,"2014", D4:D451,"Química de la coordinación")</f>
        <v>0</v>
      </c>
      <c r="AY102" s="5">
        <f>SUMIFS( E4:E451, A4:A451,"2015", D4:D451,"Química de la coordinación")</f>
        <v>0</v>
      </c>
      <c r="AZ102" s="5">
        <f>SUMIFS( E4:E451, A4:A451,"2016", D4:D451,"Química de la coordinación")</f>
        <v>12</v>
      </c>
      <c r="BA102" s="5">
        <f>SUMIFS( E4:E451, A4:A451,"2017", D4:D451,"Química de la coordinación")</f>
        <v>21</v>
      </c>
      <c r="BB102" s="29">
        <f>SUMIFS( E4:E451, N4:N451,"2014", D4:D451,"Química de la coordinación")</f>
        <v>0</v>
      </c>
      <c r="BC102" s="5">
        <f>SUMIFS( E4:E451, N4:N451,"2015", D4:D451,"Química de la coordinación")</f>
        <v>0</v>
      </c>
      <c r="BD102" s="5">
        <f>SUMIFS( E4:E451, N4:N451,"2016", D4:D451,"Química de la coordinación")</f>
        <v>0</v>
      </c>
      <c r="BE102" s="5">
        <f>SUMIFS( E4:E451, N4:N451,"2017", D4:D451,"Química de la coordinación")</f>
        <v>29</v>
      </c>
      <c r="BF102" s="5">
        <f>SUMIFS( E4:E451, N4:N451,"2018", D4:D451,"Química de la coordinación")</f>
        <v>4</v>
      </c>
      <c r="BG102" s="23">
        <f>AVERAGEIFS( E4:E451, D4:D451,"Química de la coordinación")</f>
        <v>6.6</v>
      </c>
      <c r="BH102" s="23">
        <v>0</v>
      </c>
      <c r="BI102" s="23">
        <v>0</v>
      </c>
      <c r="BJ102" s="23">
        <v>0</v>
      </c>
      <c r="BK102" s="23">
        <f>AVERAGEIFS( E4:E451, A4:A451,"2016", D4:D451,"Química de la coordinación")</f>
        <v>12</v>
      </c>
      <c r="BL102" s="23">
        <f>AVERAGEIFS( E4:E451, A4:A451,"2017", D4:D451,"Química de la coordinación")</f>
        <v>5.25</v>
      </c>
      <c r="BM102" s="23">
        <v>6.6</v>
      </c>
      <c r="BN102" s="23">
        <v>0</v>
      </c>
      <c r="BO102" s="23">
        <v>0</v>
      </c>
      <c r="BP102" s="23">
        <v>0</v>
      </c>
      <c r="BQ102" s="23">
        <v>12</v>
      </c>
      <c r="BR102" s="23">
        <v>5.25</v>
      </c>
    </row>
    <row r="103" spans="1:70" ht="15" customHeight="1" x14ac:dyDescent="0.25">
      <c r="A103">
        <v>2016</v>
      </c>
      <c r="B103" t="s">
        <v>4</v>
      </c>
      <c r="C103" t="s">
        <v>23</v>
      </c>
      <c r="D103" t="s">
        <v>25</v>
      </c>
      <c r="E103" s="17">
        <v>44</v>
      </c>
      <c r="F103" t="s">
        <v>215</v>
      </c>
      <c r="G103" t="s">
        <v>233</v>
      </c>
      <c r="H103" t="s">
        <v>234</v>
      </c>
      <c r="I103" t="s">
        <v>234</v>
      </c>
      <c r="J103" t="s">
        <v>234</v>
      </c>
      <c r="K103" t="s">
        <v>234</v>
      </c>
      <c r="L103" t="s">
        <v>234</v>
      </c>
      <c r="M103" s="14">
        <v>42797</v>
      </c>
      <c r="N103" s="14" t="str">
        <f t="shared" si="1"/>
        <v>2017</v>
      </c>
      <c r="O103" s="55" t="s">
        <v>124</v>
      </c>
      <c r="P103" s="56"/>
      <c r="Q103" s="56"/>
      <c r="R103" s="56"/>
      <c r="S103" s="56"/>
      <c r="T103" s="57"/>
      <c r="U103" s="5">
        <f>COUNTIFS(   D4:D451,"Química de productos Naturales")</f>
        <v>1</v>
      </c>
      <c r="V103" s="5">
        <f>COUNTIFS(   D4:D451,"Química de productos Naturales",F4:F451,"Hombre")</f>
        <v>0</v>
      </c>
      <c r="W103" s="5">
        <f>COUNTIFS(   D4:D451,"Química de productos Naturales",F4:F451,"Mujer")</f>
        <v>1</v>
      </c>
      <c r="X103" s="29">
        <f>COUNTIFS(   A4:A451,"2013", D4:D451,"Química de productos Naturales")</f>
        <v>0</v>
      </c>
      <c r="Y103" s="5">
        <f>COUNTIFS(   A4:A451,"2014", D4:D451,"Química de productos Naturales")</f>
        <v>0</v>
      </c>
      <c r="Z103" s="5">
        <f>COUNTIFS(   A4:A451,"2015", D4:D451,"Química de productos Naturales")</f>
        <v>0</v>
      </c>
      <c r="AA103" s="5">
        <f>COUNTIFS(   A4:A451,"2016", D4:D451,"Química de productos Naturales")</f>
        <v>0</v>
      </c>
      <c r="AB103" s="5">
        <f>COUNTIFS(   A4:A451,"2017", D4:D451,"Química de productos Naturales")</f>
        <v>1</v>
      </c>
      <c r="AC103" s="29">
        <f>COUNTIFS(   N4:N451,"2014", D4:D451,"Química de productos Naturales")</f>
        <v>0</v>
      </c>
      <c r="AD103" s="5">
        <f>COUNTIFS(   N4:N451,"2015", D4:D451,"Química de productos Naturales")</f>
        <v>0</v>
      </c>
      <c r="AE103" s="5">
        <f>COUNTIFS(   N4:N451,"2016", D4:D451,"Química de productos Naturales")</f>
        <v>0</v>
      </c>
      <c r="AF103" s="5">
        <f>COUNTIFS(   N4:N451,"2017", D4:D451,"Química de productos Naturales")</f>
        <v>0</v>
      </c>
      <c r="AG103" s="5">
        <f>COUNTIFS(   N4:N451,"2018", D4:D451,"Química de productos Naturales")</f>
        <v>1</v>
      </c>
      <c r="AH103" s="5">
        <f>COUNTIFS(   D4:D451,"Química de productos Naturales",G4:G451,"Sí")</f>
        <v>0</v>
      </c>
      <c r="AI103" s="5">
        <f>COUNTIFS(   D4:D451,"Química de productos Naturales",G4:G451,"No")</f>
        <v>1</v>
      </c>
      <c r="AJ103" s="5">
        <f>SUMIFS( E4:E451, D4:D451,"Química de productos Naturales",G4:G451,"Sí")</f>
        <v>0</v>
      </c>
      <c r="AK103" s="5">
        <f>SUMIFS( E4:E451, D4:D451,"Química de productos Naturales",G4:G451,"No")</f>
        <v>1</v>
      </c>
      <c r="AL103" s="5">
        <f>COUNTIFS(   D4:D451,"Química de productos Naturales",H4:H451,"Sí")</f>
        <v>1</v>
      </c>
      <c r="AM103" s="5">
        <f>COUNTIFS(   D4:D451,"Química de productos Naturales",I4:I451,"Sí")</f>
        <v>0</v>
      </c>
      <c r="AN103" s="5">
        <f>COUNTIFS(   D4:D451,"Química de productos Naturales",I4:I451,"No")</f>
        <v>1</v>
      </c>
      <c r="AO103" s="5">
        <f>SUMIFS( E4:E451, D4:D451,"Química de productos Naturales",I4:I451,"Sí")</f>
        <v>0</v>
      </c>
      <c r="AP103" s="5">
        <f>SUMIFS( E4:E451, D4:D451,"Química de productos Naturales",I4:I451,"No")</f>
        <v>1</v>
      </c>
      <c r="AQ103" s="5">
        <f>COUNTIFS(   D4:D451,"Química de productos Naturales",J4:J451,"Sí")</f>
        <v>0</v>
      </c>
      <c r="AR103" s="5">
        <f>COUNTIFS(   D4:D451,"Química de productos Naturales",K4:K451,"Sí")</f>
        <v>0</v>
      </c>
      <c r="AS103" s="5">
        <f>COUNTIFS(   D4:D451,"Química de productos Naturales",L4:L451,"Sí")</f>
        <v>1</v>
      </c>
      <c r="AT103" s="5">
        <f>SUMIFS( E4:E451, D4:D451,"Química de productos Naturales")</f>
        <v>1</v>
      </c>
      <c r="AU103" s="5">
        <f>SUMIFS( E4:E451, F4:F451,"Hombre", D4:D451,"Química de productos Naturales")</f>
        <v>0</v>
      </c>
      <c r="AV103" s="5">
        <f>SUMIFS( E4:E451, F4:F451,"Mujer", D4:D451,"Química de productos Naturales")</f>
        <v>1</v>
      </c>
      <c r="AW103" s="29">
        <f>SUMIFS( E4:E451, A4:A451,"2013", D4:D451,"Química de productos Naturales")</f>
        <v>0</v>
      </c>
      <c r="AX103" s="5">
        <f>SUMIFS( E4:E451, A4:A451,"2014", D4:D451,"Química de productos Naturales")</f>
        <v>0</v>
      </c>
      <c r="AY103" s="5">
        <f>SUMIFS( E4:E451, A4:A451,"2015", D4:D451,"Química de productos Naturales")</f>
        <v>0</v>
      </c>
      <c r="AZ103" s="5">
        <f>SUMIFS( E4:E451, A4:A451,"2016", D4:D451,"Química de productos Naturales")</f>
        <v>0</v>
      </c>
      <c r="BA103" s="5">
        <f>SUMIFS( E4:E451, A4:A451,"2017", D4:D451,"Química de productos Naturales")</f>
        <v>1</v>
      </c>
      <c r="BB103" s="29">
        <f>SUMIFS( E4:E451, N4:N451,"2014", D4:D451,"Química de productos Naturales")</f>
        <v>0</v>
      </c>
      <c r="BC103" s="5">
        <f>SUMIFS( E4:E451, N4:N451,"2015", D4:D451,"Química de productos Naturales")</f>
        <v>0</v>
      </c>
      <c r="BD103" s="5">
        <f>SUMIFS( E4:E451, N4:N451,"2016", D4:D451,"Química de productos Naturales")</f>
        <v>0</v>
      </c>
      <c r="BE103" s="5">
        <f>SUMIFS( E4:E451, N4:N451,"2017", D4:D451,"Química de productos Naturales")</f>
        <v>0</v>
      </c>
      <c r="BF103" s="5">
        <f>SUMIFS( E4:E451, N4:N451,"2018", D4:D451,"Química de productos Naturales")</f>
        <v>1</v>
      </c>
      <c r="BG103" s="23">
        <f>AVERAGEIFS( E4:E451, D4:D451,"Química de productos Naturales")</f>
        <v>1</v>
      </c>
      <c r="BH103" s="23">
        <v>0</v>
      </c>
      <c r="BI103" s="23">
        <v>0</v>
      </c>
      <c r="BJ103" s="23">
        <v>0</v>
      </c>
      <c r="BK103" s="23">
        <v>0</v>
      </c>
      <c r="BL103" s="23">
        <f>AVERAGEIFS( E4:E451, A4:A451,"2017", D4:D451,"Química de productos Naturales")</f>
        <v>1</v>
      </c>
      <c r="BM103" s="23">
        <v>1</v>
      </c>
      <c r="BN103" s="23">
        <v>0</v>
      </c>
      <c r="BO103" s="23">
        <v>0</v>
      </c>
      <c r="BP103" s="23">
        <v>0</v>
      </c>
      <c r="BQ103" s="23">
        <v>0</v>
      </c>
      <c r="BR103" s="23">
        <v>1</v>
      </c>
    </row>
    <row r="104" spans="1:70" ht="15" customHeight="1" x14ac:dyDescent="0.25">
      <c r="A104">
        <v>2016</v>
      </c>
      <c r="B104" t="s">
        <v>4</v>
      </c>
      <c r="C104" t="s">
        <v>23</v>
      </c>
      <c r="D104" t="s">
        <v>28</v>
      </c>
      <c r="E104">
        <v>11</v>
      </c>
      <c r="F104" t="s">
        <v>215</v>
      </c>
      <c r="G104" t="s">
        <v>233</v>
      </c>
      <c r="H104" t="s">
        <v>233</v>
      </c>
      <c r="I104" t="s">
        <v>234</v>
      </c>
      <c r="J104" t="s">
        <v>234</v>
      </c>
      <c r="K104" t="s">
        <v>234</v>
      </c>
      <c r="L104" t="s">
        <v>234</v>
      </c>
      <c r="M104" s="14">
        <v>42797</v>
      </c>
      <c r="N104" s="14" t="str">
        <f t="shared" si="1"/>
        <v>2017</v>
      </c>
      <c r="O104" s="6" t="s">
        <v>68</v>
      </c>
      <c r="P104" s="7"/>
      <c r="Q104" s="7"/>
      <c r="R104" s="7"/>
      <c r="S104" s="7"/>
      <c r="T104" s="8"/>
      <c r="U104" s="4">
        <f>COUNTIFS(   C4:C451," Tecnologías de la información y la Comunicación ")</f>
        <v>14</v>
      </c>
      <c r="V104" s="4">
        <f>COUNTIFS(   C4:C451," Tecnologías de la información y la Comunicación ",F4:F451,"Hombre")</f>
        <v>10</v>
      </c>
      <c r="W104" s="4">
        <f>COUNTIFS(   C4:C451," Tecnologías de la información y la Comunicación ",F4:F451,"Mujer")</f>
        <v>4</v>
      </c>
      <c r="X104" s="28">
        <f>COUNTIFS(   A4:A451,"2013", C4:C451," Tecnologías de la información y la Comunicación ")</f>
        <v>0</v>
      </c>
      <c r="Y104" s="4">
        <f>COUNTIFS(   A4:A451,"2014", C4:C451," Tecnologías de la información y la Comunicación ")</f>
        <v>1</v>
      </c>
      <c r="Z104" s="4">
        <f>COUNTIFS(   A4:A451,"2015", C4:C451," Tecnologías de la información y la Comunicación ")</f>
        <v>2</v>
      </c>
      <c r="AA104" s="4">
        <f>COUNTIFS(   A4:A451,"2016", C4:C451," Tecnologías de la información y la Comunicación ")</f>
        <v>3</v>
      </c>
      <c r="AB104" s="4">
        <f>COUNTIFS(   A4:A451,"2017", C4:C451," Tecnologías de la información y la Comunicación ")</f>
        <v>8</v>
      </c>
      <c r="AC104" s="28">
        <f>COUNTIFS(   N4:N451,"2014", C4:C451," Tecnologías de la información y la Comunicación ")</f>
        <v>0</v>
      </c>
      <c r="AD104" s="4">
        <f>COUNTIFS(   N4:N451,"2015", C4:C451," Tecnologías de la información y la Comunicación ")</f>
        <v>1</v>
      </c>
      <c r="AE104" s="4">
        <f>COUNTIFS(   N4:N451,"2016", C4:C451," Tecnologías de la información y la Comunicación ")</f>
        <v>3</v>
      </c>
      <c r="AF104" s="4">
        <f>COUNTIFS(   N4:N451,"2017", C4:C451," Tecnologías de la información y la Comunicación ")</f>
        <v>5</v>
      </c>
      <c r="AG104" s="4">
        <f>COUNTIFS(   N4:N451,"2018", C4:C451," Tecnologías de la información y la Comunicación ")</f>
        <v>5</v>
      </c>
      <c r="AH104" s="4">
        <f>COUNTIFS(   C4:C451," Tecnologías de la información y la Comunicación ",G4:G451,"Sí")</f>
        <v>0</v>
      </c>
      <c r="AI104" s="4">
        <f>COUNTIFS(   C4:C451," Tecnologías de la información y la Comunicación ",G4:G451,"No")</f>
        <v>14</v>
      </c>
      <c r="AJ104" s="4">
        <f>SUMIFS( E4:E451, C4:C451," Tecnologías de la información y la Comunicación ",G4:G451,"Sí")</f>
        <v>0</v>
      </c>
      <c r="AK104" s="4">
        <f>SUMIFS( E4:E451, C4:C451," Tecnologías de la información y la Comunicación ",G4:G451,"No")</f>
        <v>108</v>
      </c>
      <c r="AL104" s="4">
        <f>COUNTIFS(   C4:C451," Tecnologías de la información y la Comunicación ",H4:H451,"Sí")</f>
        <v>3</v>
      </c>
      <c r="AM104" s="4">
        <f>COUNTIFS(   C4:C451," Tecnologías de la información y la Comunicación ",I4:I451,"Sí")</f>
        <v>4</v>
      </c>
      <c r="AN104" s="4">
        <f>COUNTIFS(   C4:C451," Tecnologías de la información y la Comunicación ",I4:I451,"No")</f>
        <v>10</v>
      </c>
      <c r="AO104" s="4">
        <f>SUMIFS( E4:E451, C4:C451," Tecnologías de la información y la Comunicación ",I4:I451,"Sí")</f>
        <v>63</v>
      </c>
      <c r="AP104" s="4">
        <f>SUMIFS( E4:E451, C4:C451," Tecnologías de la información y la Comunicación ",I4:I451,"No")</f>
        <v>45</v>
      </c>
      <c r="AQ104" s="4">
        <f>COUNTIFS(   C4:C451," Tecnologías de la información y la Comunicación ",J4:J451,"Sí")</f>
        <v>12</v>
      </c>
      <c r="AR104" s="4">
        <f>COUNTIFS(   C4:C451," Tecnologías de la información y la Comunicación ",K4:K451,"Sí")</f>
        <v>7</v>
      </c>
      <c r="AS104" s="4">
        <f>COUNTIFS(   C4:C451," Tecnologías de la información y la Comunicación ",L4:L451,"Sí")</f>
        <v>13</v>
      </c>
      <c r="AT104" s="4">
        <f>SUMIFS( E4:E451, C4:C451," Tecnologías de la información y la Comunicación ")</f>
        <v>108</v>
      </c>
      <c r="AU104" s="4">
        <f>SUMIFS( E4:E451, F4:F451,"Hombre", C4:C451," Tecnologías de la información y la Comunicación ")</f>
        <v>77</v>
      </c>
      <c r="AV104" s="4">
        <f>SUMIFS( E4:E451, F4:F451,"Mujer", C4:C451," Tecnologías de la información y la Comunicación ")</f>
        <v>31</v>
      </c>
      <c r="AW104" s="28">
        <f>SUMIFS( E4:E451, A4:A451,"2013", C4:C451," Tecnologías de la información y la Comunicación ")</f>
        <v>0</v>
      </c>
      <c r="AX104" s="4">
        <f>SUMIFS( E4:E451, A4:A451,"2014", C4:C451," Tecnologías de la información y la Comunicación ")</f>
        <v>16</v>
      </c>
      <c r="AY104" s="4">
        <f>SUMIFS( E4:E451, A4:A451,"2015", C4:C451," Tecnologías de la información y la Comunicación ")</f>
        <v>10</v>
      </c>
      <c r="AZ104" s="4">
        <f>SUMIFS( E4:E451, A4:A451,"2016", C4:C451," Tecnologías de la información y la Comunicación ")</f>
        <v>29</v>
      </c>
      <c r="BA104" s="4">
        <f>SUMIFS( E4:E451, A4:A451,"2017", C4:C451," Tecnologías de la información y la Comunicación ")</f>
        <v>53</v>
      </c>
      <c r="BB104" s="28">
        <f>SUMIFS( E4:E451, N4:N451,"2014", C4:C451," Tecnologías de la información y la Comunicación ")</f>
        <v>0</v>
      </c>
      <c r="BC104" s="4">
        <f>SUMIFS( E4:E451, N4:N451,"2015", C4:C451," Tecnologías de la información y la Comunicación ")</f>
        <v>16</v>
      </c>
      <c r="BD104" s="4">
        <f>SUMIFS( E4:E451, N4:N451,"2016", C4:C451," Tecnologías de la información y la Comunicación ")</f>
        <v>35</v>
      </c>
      <c r="BE104" s="4">
        <f>SUMIFS( E4:E451, N4:N451,"2017", C4:C451," Tecnologías de la información y la Comunicación ")</f>
        <v>18</v>
      </c>
      <c r="BF104" s="4">
        <f>SUMIFS( E4:E451, N4:N451,"2018", C4:C451," Tecnologías de la información y la Comunicación ")</f>
        <v>39</v>
      </c>
      <c r="BG104" s="22">
        <f>AVERAGEIFS( E4:E451, C4:C451," Tecnologías de la información y la Comunicación ")</f>
        <v>7.7142857142857144</v>
      </c>
      <c r="BH104" s="22">
        <v>0</v>
      </c>
      <c r="BI104" s="22">
        <f>AVERAGEIFS( E4:E451, A4:A451,"2014", C4:C451," Tecnologías de la información y la Comunicación ")</f>
        <v>16</v>
      </c>
      <c r="BJ104" s="22">
        <f>AVERAGEIFS( E4:E451, A4:A451,"2015", C4:C451," Tecnologías de la información y la Comunicación ")</f>
        <v>5</v>
      </c>
      <c r="BK104" s="22">
        <f>AVERAGEIFS( E4:E451, A4:A451,"2016", C4:C451," Tecnologías de la información y la Comunicación ")</f>
        <v>9.6666666666666661</v>
      </c>
      <c r="BL104" s="22">
        <f>AVERAGEIFS( E4:E451, A4:A451,"2017", C4:C451," Tecnologías de la información y la Comunicación ")</f>
        <v>6.625</v>
      </c>
      <c r="BM104" s="22">
        <f>AVERAGE(AT105:AT114)</f>
        <v>10.8</v>
      </c>
      <c r="BN104" s="22">
        <v>0</v>
      </c>
      <c r="BO104" s="22">
        <f>AVERAGE(AX105:AX114)</f>
        <v>1.6</v>
      </c>
      <c r="BP104" s="22">
        <f>AVERAGE(AY105:AY114)</f>
        <v>1</v>
      </c>
      <c r="BQ104" s="22">
        <f>AVERAGE(AZ105:AZ114)</f>
        <v>2.9</v>
      </c>
      <c r="BR104" s="22">
        <f>AVERAGE(BA105:BA114)</f>
        <v>4.3</v>
      </c>
    </row>
    <row r="105" spans="1:70" ht="15" customHeight="1" x14ac:dyDescent="0.25">
      <c r="A105">
        <v>2016</v>
      </c>
      <c r="B105" t="s">
        <v>4</v>
      </c>
      <c r="C105" t="s">
        <v>23</v>
      </c>
      <c r="D105" t="s">
        <v>25</v>
      </c>
      <c r="E105">
        <v>11</v>
      </c>
      <c r="F105" t="s">
        <v>215</v>
      </c>
      <c r="G105" t="s">
        <v>233</v>
      </c>
      <c r="H105" t="s">
        <v>234</v>
      </c>
      <c r="I105" t="s">
        <v>234</v>
      </c>
      <c r="J105" t="s">
        <v>234</v>
      </c>
      <c r="K105" t="s">
        <v>234</v>
      </c>
      <c r="L105" t="s">
        <v>234</v>
      </c>
      <c r="M105" s="14">
        <v>42797</v>
      </c>
      <c r="N105" s="14" t="str">
        <f t="shared" si="1"/>
        <v>2017</v>
      </c>
      <c r="O105" s="55" t="s">
        <v>135</v>
      </c>
      <c r="P105" s="56"/>
      <c r="Q105" s="56"/>
      <c r="R105" s="56"/>
      <c r="S105" s="56"/>
      <c r="T105" s="57"/>
      <c r="U105" s="5">
        <f>COUNTIFS(   D4:D451,"Aplicaciones de las TIC: Salud-Bienestar social, Medio ambiente-Energía y Agroalimentarias")</f>
        <v>1</v>
      </c>
      <c r="V105" s="5">
        <f>COUNTIFS(   D4:D451,"Aplicaciones de las TIC: Salud-Bienestar social, Medio ambiente-Energía y Agroalimentarias",F4:F451,"Hombre")</f>
        <v>0</v>
      </c>
      <c r="W105" s="5">
        <f>COUNTIFS(   D4:D451,"Aplicaciones de las TIC: Salud-Bienestar social, Medio ambiente-Energía y Agroalimentarias",F4:F451,"Mujer")</f>
        <v>1</v>
      </c>
      <c r="X105" s="29">
        <f>COUNTIFS(   A4:A451,"2013", D4:D451,"Aplicaciones de las TIC: Salud-Bienestar social, Medio ambiente-Energía y Agroalimentarias")</f>
        <v>0</v>
      </c>
      <c r="Y105" s="5">
        <f>COUNTIFS(   A4:A451,"2014", D4:D451,"Aplicaciones de las TIC: Salud-Bienestar social, Medio ambiente-Energía y Agroalimentarias")</f>
        <v>0</v>
      </c>
      <c r="Z105" s="5">
        <f>COUNTIFS(   A4:A451,"2015", D4:D451,"Aplicaciones de las TIC: Salud-Bienestar social, Medio ambiente-Energía y Agroalimentarias")</f>
        <v>0</v>
      </c>
      <c r="AA105" s="5">
        <f>COUNTIFS(   A4:A451,"2016", D4:D451,"Aplicaciones de las TIC: Salud-Bienestar social, Medio ambiente-Energía y Agroalimentarias")</f>
        <v>1</v>
      </c>
      <c r="AB105" s="5">
        <f>COUNTIFS(   A4:A451,"2017", D4:D451,"Aplicaciones de las TIC: Salud-Bienestar social, Medio ambiente-Energía y Agroalimentarias")</f>
        <v>0</v>
      </c>
      <c r="AC105" s="29">
        <f>COUNTIFS(   N4:N451,"2014", D4:D451,"Aplicaciones de las TIC: Salud-Bienestar social, Medio ambiente-Energía y Agroalimentarias")</f>
        <v>0</v>
      </c>
      <c r="AD105" s="5">
        <f>COUNTIFS(   N4:N451,"2015", D4:D451,"Aplicaciones de las TIC: Salud-Bienestar social, Medio ambiente-Energía y Agroalimentarias")</f>
        <v>0</v>
      </c>
      <c r="AE105" s="5">
        <f>COUNTIFS(   N4:N451,"2016", D4:D451,"Aplicaciones de las TIC: Salud-Bienestar social, Medio ambiente-Energía y Agroalimentarias")</f>
        <v>1</v>
      </c>
      <c r="AF105" s="5">
        <f>COUNTIFS(   N4:N451,"2017", D4:D451,"Aplicaciones de las TIC: Salud-Bienestar social, Medio ambiente-Energía y Agroalimentarias")</f>
        <v>0</v>
      </c>
      <c r="AG105" s="5">
        <f>COUNTIFS(   N4:N451,"2018", D4:D451,"Aplicaciones de las TIC: Salud-Bienestar social, Medio ambiente-Energía y Agroalimentarias")</f>
        <v>0</v>
      </c>
      <c r="AH105" s="5">
        <f>COUNTIFS(   D4:D451,"Aplicaciones de las TIC: Salud-Bienestar social, Medio ambiente-Energía y Agroalimentarias",G4:G451,"Sí")</f>
        <v>0</v>
      </c>
      <c r="AI105" s="5">
        <f>COUNTIFS(   D4:D451,"Aplicaciones de las TIC: Salud-Bienestar social, Medio ambiente-Energía y Agroalimentarias",G4:G451,"No")</f>
        <v>1</v>
      </c>
      <c r="AJ105" s="5">
        <f>SUMIFS( E4:E451, D4:D451,"Aplicaciones de las TIC: Salud-Bienestar social, Medio ambiente-Energía y Agroalimentarias",G4:G451,"Sí")</f>
        <v>0</v>
      </c>
      <c r="AK105" s="5">
        <f>SUMIFS( E4:E451, D4:D451,"Aplicaciones de las TIC: Salud-Bienestar social, Medio ambiente-Energía y Agroalimentarias",G4:G451,"No")</f>
        <v>25</v>
      </c>
      <c r="AL105" s="5">
        <f>COUNTIFS(   D4:D451,"Aplicaciones de las TIC: Salud-Bienestar social, Medio ambiente-Energía y Agroalimentarias",H4:H451,"Sí")</f>
        <v>0</v>
      </c>
      <c r="AM105" s="5">
        <f>COUNTIFS(   D4:D451,"Aplicaciones de las TIC: Salud-Bienestar social, Medio ambiente-Energía y Agroalimentarias",I4:I451,"Sí")</f>
        <v>1</v>
      </c>
      <c r="AN105" s="5">
        <f>COUNTIFS(   D4:D451,"Aplicaciones de las TIC: Salud-Bienestar social, Medio ambiente-Energía y Agroalimentarias",I4:I451,"No")</f>
        <v>0</v>
      </c>
      <c r="AO105" s="5">
        <f>SUMIFS( E4:E451, D4:D451,"Aplicaciones de las TIC: Salud-Bienestar social, Medio ambiente-Energía y Agroalimentarias",I4:I451,"Sí")</f>
        <v>25</v>
      </c>
      <c r="AP105" s="5">
        <f>SUMIFS( E4:E451, D4:D451,"Aplicaciones de las TIC: Salud-Bienestar social, Medio ambiente-Energía y Agroalimentarias",I4:I451,"No")</f>
        <v>0</v>
      </c>
      <c r="AQ105" s="5">
        <f>COUNTIFS(   D4:D451,"Aplicaciones de las TIC: Salud-Bienestar social, Medio ambiente-Energía y Agroalimentarias",J4:J451,"Sí")</f>
        <v>1</v>
      </c>
      <c r="AR105" s="5">
        <f>COUNTIFS(   D4:D451,"Aplicaciones de las TIC: Salud-Bienestar social, Medio ambiente-Energía y Agroalimentarias",K4:K451,"Sí")</f>
        <v>0</v>
      </c>
      <c r="AS105" s="5">
        <f>COUNTIFS(   D4:D451,"Aplicaciones de las TIC: Salud-Bienestar social, Medio ambiente-Energía y Agroalimentarias",L4:L451,"Sí")</f>
        <v>1</v>
      </c>
      <c r="AT105" s="5">
        <f>SUMIFS( E4:E451, D4:D451,"Aplicaciones de las TIC: Salud-Bienestar social, Medio ambiente-Energía y Agroalimentarias")</f>
        <v>25</v>
      </c>
      <c r="AU105" s="5">
        <f>SUMIFS( E4:E451, F4:F451,"Hombre", D4:D451,"Aplicaciones de las TIC: Salud-Bienestar social, Medio ambiente-Energía y Agroalimentarias")</f>
        <v>0</v>
      </c>
      <c r="AV105" s="5">
        <f>SUMIFS( E4:E451, F4:F451,"Mujer", D4:D451,"Aplicaciones de las TIC: Salud-Bienestar social, Medio ambiente-Energía y Agroalimentarias")</f>
        <v>25</v>
      </c>
      <c r="AW105" s="29">
        <f>SUMIFS( E4:E451, A4:A451,"2013", D4:D451,"Aplicaciones de las TIC: Salud-Bienestar social, Medio ambiente-Energía y Agroalimentarias")</f>
        <v>0</v>
      </c>
      <c r="AX105" s="5">
        <f>SUMIFS( E4:E451, A4:A451,"2014", D4:D451,"Aplicaciones de las TIC: Salud-Bienestar social, Medio ambiente-Energía y Agroalimentarias")</f>
        <v>0</v>
      </c>
      <c r="AY105" s="5">
        <f>SUMIFS( E4:E451, A4:A451,"2015", D4:D451,"Aplicaciones de las TIC: Salud-Bienestar social, Medio ambiente-Energía y Agroalimentarias")</f>
        <v>0</v>
      </c>
      <c r="AZ105" s="5">
        <f>SUMIFS( E4:E451, A4:A451,"2016", D4:D451,"Aplicaciones de las TIC: Salud-Bienestar social, Medio ambiente-Energía y Agroalimentarias")</f>
        <v>25</v>
      </c>
      <c r="BA105" s="5">
        <f>SUMIFS( E4:E451, A4:A451,"2017", D4:D451,"Aplicaciones de las TIC: Salud-Bienestar social, Medio ambiente-Energía y Agroalimentarias")</f>
        <v>0</v>
      </c>
      <c r="BB105" s="29">
        <f>SUMIFS( E4:E451, N4:N451,"2014", D4:D451,"Aplicaciones de las TIC: Salud-Bienestar social, Medio ambiente-Energía y Agroalimentarias")</f>
        <v>0</v>
      </c>
      <c r="BC105" s="5">
        <f>SUMIFS( E4:E451, N4:N451,"2015", D4:D451,"Aplicaciones de las TIC: Salud-Bienestar social, Medio ambiente-Energía y Agroalimentarias")</f>
        <v>0</v>
      </c>
      <c r="BD105" s="5">
        <f>SUMIFS( E4:E451, N4:N451,"2016", D4:D451,"Aplicaciones de las TIC: Salud-Bienestar social, Medio ambiente-Energía y Agroalimentarias")</f>
        <v>25</v>
      </c>
      <c r="BE105" s="5">
        <f>SUMIFS( E4:E451, N4:N451,"2017", D4:D451,"Aplicaciones de las TIC: Salud-Bienestar social, Medio ambiente-Energía y Agroalimentarias")</f>
        <v>0</v>
      </c>
      <c r="BF105" s="5">
        <f>SUMIFS( E4:E451, N4:N451,"2018", D4:D451,"Aplicaciones de las TIC: Salud-Bienestar social, Medio ambiente-Energía y Agroalimentarias")</f>
        <v>0</v>
      </c>
      <c r="BG105" s="23">
        <f>AVERAGEIFS( E4:E451, D4:D451,"Aplicaciones de las TIC: Salud-Bienestar social, Medio ambiente-Energía y Agroalimentarias")</f>
        <v>25</v>
      </c>
      <c r="BH105" s="23">
        <v>0</v>
      </c>
      <c r="BI105" s="23">
        <v>0</v>
      </c>
      <c r="BJ105" s="23">
        <v>0</v>
      </c>
      <c r="BK105" s="23">
        <f>AVERAGEIFS( E4:E451, A4:A451,"2016", D4:D451,"Aplicaciones de las TIC: Salud-Bienestar social, Medio ambiente-Energía y Agroalimentarias")</f>
        <v>25</v>
      </c>
      <c r="BL105" s="23">
        <v>0</v>
      </c>
      <c r="BM105" s="23">
        <v>25</v>
      </c>
      <c r="BN105" s="23">
        <v>0</v>
      </c>
      <c r="BO105" s="23">
        <v>0</v>
      </c>
      <c r="BP105" s="23">
        <v>0</v>
      </c>
      <c r="BQ105" s="23">
        <v>25</v>
      </c>
      <c r="BR105" s="23">
        <v>0</v>
      </c>
    </row>
    <row r="106" spans="1:70" ht="15" customHeight="1" x14ac:dyDescent="0.25">
      <c r="A106">
        <v>2016</v>
      </c>
      <c r="B106" t="s">
        <v>4</v>
      </c>
      <c r="C106" t="s">
        <v>23</v>
      </c>
      <c r="D106" t="s">
        <v>27</v>
      </c>
      <c r="E106">
        <v>3</v>
      </c>
      <c r="F106" t="s">
        <v>215</v>
      </c>
      <c r="G106" t="s">
        <v>233</v>
      </c>
      <c r="H106" t="s">
        <v>234</v>
      </c>
      <c r="I106" t="s">
        <v>233</v>
      </c>
      <c r="J106" t="s">
        <v>234</v>
      </c>
      <c r="K106" t="s">
        <v>234</v>
      </c>
      <c r="L106" t="s">
        <v>234</v>
      </c>
      <c r="M106" s="14">
        <v>42797</v>
      </c>
      <c r="N106" s="14" t="str">
        <f t="shared" si="1"/>
        <v>2017</v>
      </c>
      <c r="O106" s="55" t="s">
        <v>137</v>
      </c>
      <c r="P106" s="56"/>
      <c r="Q106" s="56"/>
      <c r="R106" s="56"/>
      <c r="S106" s="56"/>
      <c r="T106" s="57"/>
      <c r="U106" s="5">
        <f>COUNTIFS(   D4:D451,"Bioinformática")</f>
        <v>1</v>
      </c>
      <c r="V106" s="5">
        <f>COUNTIFS(   D4:D451,"Bioinformática",F4:F451,"Hombre")</f>
        <v>1</v>
      </c>
      <c r="W106" s="5">
        <f>COUNTIFS(   D4:D451,"Bioinformática",F4:F451,"Mujer")</f>
        <v>0</v>
      </c>
      <c r="X106" s="29">
        <f>COUNTIFS(   A4:A451,"2013", D4:D451,"Bioinformática")</f>
        <v>0</v>
      </c>
      <c r="Y106" s="5">
        <f>COUNTIFS(   A4:A451,"2014", D4:D451,"Bioinformática")</f>
        <v>1</v>
      </c>
      <c r="Z106" s="5">
        <f>COUNTIFS(   A4:A451,"2015", D4:D451,"Bioinformática")</f>
        <v>0</v>
      </c>
      <c r="AA106" s="5">
        <f>COUNTIFS(   A4:A451,"2016", D4:D451,"Bioinformática")</f>
        <v>0</v>
      </c>
      <c r="AB106" s="5">
        <f>COUNTIFS(   A4:A451,"2017", D4:D451,"Bioinformática")</f>
        <v>0</v>
      </c>
      <c r="AC106" s="29">
        <f>COUNTIFS(   N4:N451,"2014", D4:D451,"Bioinformática")</f>
        <v>0</v>
      </c>
      <c r="AD106" s="5">
        <f>COUNTIFS(   N4:N451,"2015", D4:D451,"Bioinformática")</f>
        <v>1</v>
      </c>
      <c r="AE106" s="5">
        <f>COUNTIFS(   N4:N451,"2016", D4:D451,"Bioinformática")</f>
        <v>0</v>
      </c>
      <c r="AF106" s="5">
        <f>COUNTIFS(   N4:N451,"2017", D4:D451,"Bioinformática")</f>
        <v>0</v>
      </c>
      <c r="AG106" s="5">
        <f>COUNTIFS(   N4:N451,"2018", D4:D451,"Bioinformática")</f>
        <v>0</v>
      </c>
      <c r="AH106" s="5">
        <f>COUNTIFS(   D4:D451,"Bioinformática",G4:G451,"Sí")</f>
        <v>0</v>
      </c>
      <c r="AI106" s="5">
        <f>COUNTIFS(   D4:D451,"Bioinformática",G4:G451,"No")</f>
        <v>1</v>
      </c>
      <c r="AJ106" s="5">
        <f>SUMIFS( E4:E451, D4:D451,"Bioinformática",G4:G451,"Sí")</f>
        <v>0</v>
      </c>
      <c r="AK106" s="5">
        <f>SUMIFS( E4:E451, D4:D451,"Bioinformática",G4:G451,"No")</f>
        <v>16</v>
      </c>
      <c r="AL106" s="5">
        <f>COUNTIFS(   D4:D451,"Bioinformática",H4:H451,"Sí")</f>
        <v>0</v>
      </c>
      <c r="AM106" s="5">
        <f>COUNTIFS(   D4:D451,"Bioinformática",I4:I451,"Sí")</f>
        <v>1</v>
      </c>
      <c r="AN106" s="5">
        <f>COUNTIFS(   D4:D451,"Bioinformática",I4:I451,"No")</f>
        <v>0</v>
      </c>
      <c r="AO106" s="5">
        <f>SUMIFS( E4:E451, D4:D451,"Bioinformática",I4:I451,"Sí")</f>
        <v>16</v>
      </c>
      <c r="AP106" s="5">
        <f>SUMIFS( E4:E451, D4:D451,"Bioinformática",I4:I451,"No")</f>
        <v>0</v>
      </c>
      <c r="AQ106" s="5">
        <f>COUNTIFS(   D4:D451,"Bioinformática",J4:J451,"Sí")</f>
        <v>1</v>
      </c>
      <c r="AR106" s="5">
        <f>COUNTIFS(   D4:D451,"Bioinformática",K4:K451,"Sí")</f>
        <v>0</v>
      </c>
      <c r="AS106" s="5">
        <f>COUNTIFS(   D4:D451,"Bioinformática",L4:L451,"Sí")</f>
        <v>1</v>
      </c>
      <c r="AT106" s="5">
        <f>SUMIFS( E4:E451, D4:D451,"Bioinformática")</f>
        <v>16</v>
      </c>
      <c r="AU106" s="5">
        <f>SUMIFS( E4:E451, F4:F451,"Hombre", D4:D451,"Bioinformática")</f>
        <v>16</v>
      </c>
      <c r="AV106" s="5">
        <f>SUMIFS( E4:E451, F4:F451,"Mujer", D4:D451,"Bioinformática")</f>
        <v>0</v>
      </c>
      <c r="AW106" s="29">
        <f>SUMIFS( E4:E451, A4:A451,"2013", D4:D451,"Bioinformática")</f>
        <v>0</v>
      </c>
      <c r="AX106" s="5">
        <f>SUMIFS( E4:E451, A4:A451,"2014", D4:D451,"Bioinformática")</f>
        <v>16</v>
      </c>
      <c r="AY106" s="5">
        <f>SUMIFS( E4:E451, A4:A451,"2015", D4:D451,"Bioinformática")</f>
        <v>0</v>
      </c>
      <c r="AZ106" s="5">
        <f>SUMIFS( E4:E451, A4:A451,"2016", D4:D451,"Bioinformática")</f>
        <v>0</v>
      </c>
      <c r="BA106" s="5">
        <f>SUMIFS( E4:E451, A4:A451,"2017", D4:D451,"Bioinformática")</f>
        <v>0</v>
      </c>
      <c r="BB106" s="29">
        <f>SUMIFS( E4:E451, N4:N451,"2014", D4:D451,"Bioinformática")</f>
        <v>0</v>
      </c>
      <c r="BC106" s="5">
        <f>SUMIFS( E4:E451, N4:N451,"2015", D4:D451,"Bioinformática")</f>
        <v>16</v>
      </c>
      <c r="BD106" s="5">
        <f>SUMIFS( E4:E451, N4:N451,"2016", D4:D451,"Bioinformática")</f>
        <v>0</v>
      </c>
      <c r="BE106" s="5">
        <f>SUMIFS( E4:E451, N4:N451,"2017", D4:D451,"Bioinformática")</f>
        <v>0</v>
      </c>
      <c r="BF106" s="5">
        <f>SUMIFS( E4:E451, N4:N451,"2018", D4:D451,"Bioinformática")</f>
        <v>0</v>
      </c>
      <c r="BG106" s="23">
        <f>AVERAGEIFS( E4:E451, D4:D451,"Bioinformática")</f>
        <v>16</v>
      </c>
      <c r="BH106" s="23">
        <v>0</v>
      </c>
      <c r="BI106" s="23">
        <f>AVERAGEIFS( E4:E451, A4:A451,"2014", D4:D451,"Bioinformática")</f>
        <v>16</v>
      </c>
      <c r="BJ106" s="23">
        <v>0</v>
      </c>
      <c r="BK106" s="23">
        <v>0</v>
      </c>
      <c r="BL106" s="23">
        <v>0</v>
      </c>
      <c r="BM106" s="23">
        <v>16</v>
      </c>
      <c r="BN106" s="23">
        <v>0</v>
      </c>
      <c r="BO106" s="23">
        <v>16</v>
      </c>
      <c r="BP106" s="23">
        <v>0</v>
      </c>
      <c r="BQ106" s="23">
        <v>0</v>
      </c>
      <c r="BR106" s="23">
        <v>0</v>
      </c>
    </row>
    <row r="107" spans="1:70" x14ac:dyDescent="0.25">
      <c r="A107">
        <v>2016</v>
      </c>
      <c r="B107" t="s">
        <v>4</v>
      </c>
      <c r="C107" t="s">
        <v>23</v>
      </c>
      <c r="D107" t="s">
        <v>27</v>
      </c>
      <c r="E107">
        <v>11</v>
      </c>
      <c r="F107" t="s">
        <v>211</v>
      </c>
      <c r="G107" t="s">
        <v>233</v>
      </c>
      <c r="H107" t="s">
        <v>233</v>
      </c>
      <c r="I107" t="s">
        <v>234</v>
      </c>
      <c r="J107" t="s">
        <v>234</v>
      </c>
      <c r="K107" t="s">
        <v>233</v>
      </c>
      <c r="L107" t="s">
        <v>234</v>
      </c>
      <c r="M107" s="14">
        <v>42779</v>
      </c>
      <c r="N107" s="14" t="str">
        <f t="shared" si="1"/>
        <v>2017</v>
      </c>
      <c r="O107" s="55" t="s">
        <v>206</v>
      </c>
      <c r="P107" s="56"/>
      <c r="Q107" s="56"/>
      <c r="R107" s="56"/>
      <c r="S107" s="56"/>
      <c r="T107" s="57"/>
      <c r="U107" s="5">
        <f>COUNTIFS(   D4:D451,"Especificación y Modelado de Sistemas. Desarrollo de Software")</f>
        <v>1</v>
      </c>
      <c r="V107" s="5">
        <f>COUNTIFS(   D4:D451,"Especificación y Modelado de Sistemas. Desarrollo de Software",F4:F451,"Hombre")</f>
        <v>1</v>
      </c>
      <c r="W107" s="5">
        <f>COUNTIFS(   D4:D451,"Especificación y Modelado de Sistemas. Desarrollo de Software",F4:F451,"Mujer")</f>
        <v>0</v>
      </c>
      <c r="X107" s="29">
        <v>0</v>
      </c>
      <c r="Y107" s="5">
        <v>0</v>
      </c>
      <c r="Z107" s="5">
        <v>0</v>
      </c>
      <c r="AA107" s="5">
        <v>0</v>
      </c>
      <c r="AB107" s="5">
        <v>0</v>
      </c>
      <c r="AC107" s="29">
        <v>0</v>
      </c>
      <c r="AD107" s="5">
        <v>0</v>
      </c>
      <c r="AE107" s="5">
        <v>0</v>
      </c>
      <c r="AF107" s="5">
        <v>0</v>
      </c>
      <c r="AG107" s="5">
        <v>0</v>
      </c>
      <c r="AH107" s="5">
        <f>COUNTIFS(   D4:D451,"Especificación y Modelado de Sistemas. Desarrollo de Software",G4:G451,"Sí")</f>
        <v>0</v>
      </c>
      <c r="AI107" s="5">
        <f>COUNTIFS(   D4:D451,"Especificación y Modelado de Sistemas. Desarrollo de Software",G4:G451,"No")</f>
        <v>1</v>
      </c>
      <c r="AJ107" s="5">
        <f>SUMIFS( E4:E451, D4:D451,"Especificación y Modelado de Sistemas. Desarrollo de Software",G4:G451,"Sí")</f>
        <v>0</v>
      </c>
      <c r="AK107" s="5">
        <f>SUMIFS( E4:E451, D4:D451,"Especificación y Modelado de Sistemas. Desarrollo de Software",G4:G451,"No")</f>
        <v>4</v>
      </c>
      <c r="AL107" s="5">
        <f>COUNTIFS(   D4:D451,"Especificación y Modelado de Sistemas. Desarrollo de Software",H4:H451,"Sí")</f>
        <v>0</v>
      </c>
      <c r="AM107" s="5">
        <f>COUNTIFS(   D4:D451,"Especificación y Modelado de Sistemas. Desarrollo de Software",I4:I451,"Sí")</f>
        <v>0</v>
      </c>
      <c r="AN107" s="5">
        <f>COUNTIFS(   D4:D451,"Especificación y Modelado de Sistemas. Desarrollo de Software",I4:I451,"No")</f>
        <v>1</v>
      </c>
      <c r="AO107" s="5">
        <f>SUMIFS( E4:E451, D4:D451,"Especificación y Modelado de Sistemas. Desarrollo de Software",I4:I451,"Sí")</f>
        <v>0</v>
      </c>
      <c r="AP107" s="5">
        <f>SUMIFS( E4:E451, D4:D451,"Especificación y Modelado de Sistemas. Desarrollo de Software",I4:I451,"No")</f>
        <v>4</v>
      </c>
      <c r="AQ107" s="5">
        <f>COUNTIFS(   D4:D451,"Especificación y Modelado de Sistemas. Desarrollo de Software",J4:J451,"Sí")</f>
        <v>1</v>
      </c>
      <c r="AR107" s="5">
        <f>COUNTIFS(   D4:D451,"Especificación y Modelado de Sistemas. Desarrollo de Software",K4:K451,"Sí")</f>
        <v>1</v>
      </c>
      <c r="AS107" s="5">
        <f>COUNTIFS(   D4:D451,"Especificación y Modelado de Sistemas. Desarrollo de Software",L4:L451,"Sí")</f>
        <v>1</v>
      </c>
      <c r="AT107" s="5">
        <f>SUMIFS( E4:E451, D4:D451,"Especificación y Modelado de Sistemas. Desarrollo de Software")</f>
        <v>4</v>
      </c>
      <c r="AU107" s="5">
        <v>0</v>
      </c>
      <c r="AV107" s="5">
        <v>0</v>
      </c>
      <c r="AW107" s="29">
        <v>0</v>
      </c>
      <c r="AX107" s="5">
        <v>0</v>
      </c>
      <c r="AY107" s="5">
        <v>0</v>
      </c>
      <c r="AZ107" s="5">
        <v>0</v>
      </c>
      <c r="BA107" s="5">
        <v>0</v>
      </c>
      <c r="BB107" s="29">
        <v>0</v>
      </c>
      <c r="BC107" s="5">
        <v>0</v>
      </c>
      <c r="BD107" s="5">
        <v>0</v>
      </c>
      <c r="BE107" s="5">
        <v>0</v>
      </c>
      <c r="BF107" s="5">
        <v>0</v>
      </c>
      <c r="BG107" s="23">
        <f>AVERAGEIFS( E4:E451, D4:D451,"Especificación y Modelado de Sistemas. Desarrollo de Software")</f>
        <v>4</v>
      </c>
      <c r="BH107" s="23">
        <v>0</v>
      </c>
      <c r="BI107" s="23">
        <v>0</v>
      </c>
      <c r="BJ107" s="23">
        <v>0</v>
      </c>
      <c r="BK107" s="23">
        <v>0</v>
      </c>
      <c r="BL107" s="23">
        <v>0</v>
      </c>
      <c r="BM107" s="23">
        <v>0</v>
      </c>
      <c r="BN107" s="23">
        <v>0</v>
      </c>
      <c r="BO107" s="23">
        <v>0</v>
      </c>
      <c r="BP107" s="23">
        <v>0</v>
      </c>
      <c r="BQ107" s="23">
        <v>0</v>
      </c>
      <c r="BR107" s="23">
        <v>0</v>
      </c>
    </row>
    <row r="108" spans="1:70" ht="15" customHeight="1" x14ac:dyDescent="0.25">
      <c r="A108">
        <v>2016</v>
      </c>
      <c r="B108" t="s">
        <v>4</v>
      </c>
      <c r="C108" t="s">
        <v>23</v>
      </c>
      <c r="D108" t="s">
        <v>27</v>
      </c>
      <c r="E108">
        <v>5</v>
      </c>
      <c r="F108" t="s">
        <v>215</v>
      </c>
      <c r="G108" t="s">
        <v>233</v>
      </c>
      <c r="H108" t="s">
        <v>233</v>
      </c>
      <c r="I108" t="s">
        <v>233</v>
      </c>
      <c r="J108" t="s">
        <v>234</v>
      </c>
      <c r="K108" t="s">
        <v>233</v>
      </c>
      <c r="L108" t="s">
        <v>234</v>
      </c>
      <c r="M108" s="14">
        <v>42760</v>
      </c>
      <c r="N108" s="14" t="str">
        <f t="shared" si="1"/>
        <v>2017</v>
      </c>
      <c r="O108" s="55" t="s">
        <v>204</v>
      </c>
      <c r="P108" s="56"/>
      <c r="Q108" s="56"/>
      <c r="R108" s="56"/>
      <c r="S108" s="56"/>
      <c r="T108" s="57"/>
      <c r="U108" s="5">
        <f>COUNTIFS(   D4:D451,"Interacción Persona-Ordenador")</f>
        <v>1</v>
      </c>
      <c r="V108" s="5">
        <f>COUNTIFS(   D4:D451,"Interacción Persona=CONTAR.SI.CONJUNTOOrdenador",F4:F451,"Hombre")</f>
        <v>0</v>
      </c>
      <c r="W108" s="5">
        <f>COUNTIFS(   D4:D451,"Interacción Persona=CONTAR.SI.CONJUNTOOrdenador",F4:F451,"Mujer")</f>
        <v>0</v>
      </c>
      <c r="X108" s="29">
        <f>COUNTIFS(   A4:A451,"2013", D4:D451,"Interacción Persona-Ordenador")</f>
        <v>0</v>
      </c>
      <c r="Y108" s="5">
        <f>COUNTIFS(   A4:A451,"2014", D4:D451,"Interacción Persona-Ordenador")</f>
        <v>0</v>
      </c>
      <c r="Z108" s="5">
        <f>COUNTIFS(   A4:A451,"2015", D4:D451,"Interacción Persona-Ordenador")</f>
        <v>0</v>
      </c>
      <c r="AA108" s="5">
        <f>COUNTIFS(   A4:A451,"2016", D4:D451,"Interacción Persona-Ordenador")</f>
        <v>0</v>
      </c>
      <c r="AB108" s="5">
        <f>COUNTIFS(   A4:A451,"2017", D4:D451,"Interacción Persona-Ordenador")</f>
        <v>1</v>
      </c>
      <c r="AC108" s="29">
        <f>COUNTIFS(   N4:N451,"2014", D4:D451,"Interacción Persona-Ordenador")</f>
        <v>0</v>
      </c>
      <c r="AD108" s="5">
        <f>COUNTIFS(   N4:N451,"2015", D4:D451,"Interacción Persona-Ordenador")</f>
        <v>0</v>
      </c>
      <c r="AE108" s="5">
        <f>COUNTIFS(   N4:N451,"2016", D4:D451,"Interacción Persona-Ordenador")</f>
        <v>0</v>
      </c>
      <c r="AF108" s="5">
        <f>COUNTIFS(   N4:N451,"2017", D4:D451,"Interacción Persona-Ordenador")</f>
        <v>0</v>
      </c>
      <c r="AG108" s="5">
        <f>COUNTIFS(   N4:N451,"2018", D4:D451,"Interacción Persona-Ordenador")</f>
        <v>1</v>
      </c>
      <c r="AH108" s="5">
        <f>COUNTIFS(   D4:D451,"Interacción Persona=CONTAR.SI.CONJUNTOOrdenador",G4:G451,"Sí")</f>
        <v>0</v>
      </c>
      <c r="AI108" s="5">
        <f>COUNTIFS(   D4:D451,"Interacción Persona=CONTAR.SI.CONJUNTOOrdenador",G4:G451,"No")</f>
        <v>0</v>
      </c>
      <c r="AJ108" s="5">
        <f>SUMIFS( E4:E451, D4:D451,"Interacción Persona-Ordenador",G4:G451,"Sí")</f>
        <v>0</v>
      </c>
      <c r="AK108" s="5">
        <f>SUMIFS( E4:E451, D4:D451,"Interacción Persona-Ordenador",G4:G451,"No")</f>
        <v>8</v>
      </c>
      <c r="AL108" s="5">
        <f>COUNTIFS(   D4:D451,"Interacción Persona=CONTAR.SI.CONJUNTOOrdenador",H4:H451,"Sí")</f>
        <v>0</v>
      </c>
      <c r="AM108" s="5">
        <f>COUNTIFS(   D4:D451,"Interacción Persona=CONTAR.SI.CONJUNTOOrdenador",I4:I451,"Sí")</f>
        <v>0</v>
      </c>
      <c r="AN108" s="5">
        <f>COUNTIFS(   D4:D451,"Interacción Persona=CONTAR.SI.CONJUNTOOrdenador",I4:I451,"No")</f>
        <v>0</v>
      </c>
      <c r="AO108" s="5">
        <f>SUMIFS( E4:E451, D4:D451,"Interacción Persona-Ordenador",I4:I451,"Sí")</f>
        <v>0</v>
      </c>
      <c r="AP108" s="5">
        <f>SUMIFS( E4:E451, D4:D451,"Interacción Persona-Ordenador",I4:I451,"No")</f>
        <v>8</v>
      </c>
      <c r="AQ108" s="5">
        <f>COUNTIFS(   D4:D451,"Interacción Persona=CONTAR.SI.CONJUNTOOrdenador",J4:J451,"Sí")</f>
        <v>0</v>
      </c>
      <c r="AR108" s="5">
        <f>COUNTIFS(   D4:D451,"Interacción Persona=CONTAR.SI.CONJUNTOOrdenador",K4:K451,"Sí")</f>
        <v>0</v>
      </c>
      <c r="AS108" s="5">
        <f>COUNTIFS(   D4:D451,"Interacción Persona=CONTAR.SI.CONJUNTOOrdenador",L4:L451,"Sí")</f>
        <v>0</v>
      </c>
      <c r="AT108" s="5">
        <f>SUMIFS( E4:E451, D4:D451,"Interacción Persona-Ordenador")</f>
        <v>8</v>
      </c>
      <c r="AU108" s="5">
        <f>SUMIFS( E4:E451, F4:F451,"Hombre", D4:D451,"Interacción Persona-Ordenador")</f>
        <v>8</v>
      </c>
      <c r="AV108" s="5">
        <f>SUMIFS( E4:E451, F4:F451,"Mujer", D4:D451,"Interacción Persona-Ordenador")</f>
        <v>0</v>
      </c>
      <c r="AW108" s="29">
        <f>SUMIFS( E4:E451, A4:A451,"2013", D4:D451,"Interacción Persona-Ordenador")</f>
        <v>0</v>
      </c>
      <c r="AX108" s="5">
        <f>SUMIFS( E4:E451, A4:A451,"2014", D4:D451,"Interacción Persona-Ordenador")</f>
        <v>0</v>
      </c>
      <c r="AY108" s="5">
        <f>SUMIFS( E4:E451, A4:A451,"2015", D4:D451,"Interacción Persona-Ordenador")</f>
        <v>0</v>
      </c>
      <c r="AZ108" s="5">
        <f>SUMIFS( E4:E451, A4:A451,"2016", D4:D451,"Interacción Persona-Ordenador")</f>
        <v>0</v>
      </c>
      <c r="BA108" s="5">
        <f>SUMIFS( E4:E451, A4:A451,"2017", D4:D451,"Interacción Persona-Ordenador")</f>
        <v>8</v>
      </c>
      <c r="BB108" s="29">
        <f>SUMIFS( E4:E451, N4:N451,"2014", D4:D451,"Interacción Persona-Ordenador")</f>
        <v>0</v>
      </c>
      <c r="BC108" s="5">
        <f>SUMIFS( E4:E451, N4:N451,"2015", D4:D451,"Interacción Persona-Ordenador")</f>
        <v>0</v>
      </c>
      <c r="BD108" s="5">
        <f>SUMIFS( E4:E451, N4:N451,"2016", D4:D451,"Interacción Persona-Ordenador")</f>
        <v>0</v>
      </c>
      <c r="BE108" s="5">
        <f>SUMIFS( E4:E451, N4:N451,"2017", D4:D451,"Interacción Persona-Ordenador")</f>
        <v>0</v>
      </c>
      <c r="BF108" s="5">
        <f>SUMIFS( E4:E451, N4:N451,"2018", D4:D451,"Interacción Persona-Ordenador")</f>
        <v>8</v>
      </c>
      <c r="BG108" s="23">
        <f>AVERAGEIFS( E4:E451, D4:D451,"Interacción Persona-Ordenador")</f>
        <v>8</v>
      </c>
      <c r="BH108" s="23">
        <v>0</v>
      </c>
      <c r="BI108" s="23">
        <v>0</v>
      </c>
      <c r="BJ108" s="23">
        <v>0</v>
      </c>
      <c r="BK108" s="23">
        <v>0</v>
      </c>
      <c r="BL108" s="23">
        <f>AVERAGEIFS( E4:E451, A4:A451,"2017", D4:D451,"Interacción Persona-Ordenador")</f>
        <v>8</v>
      </c>
      <c r="BM108" s="23">
        <v>1</v>
      </c>
      <c r="BN108" s="23">
        <v>0</v>
      </c>
      <c r="BO108" s="23">
        <v>0</v>
      </c>
      <c r="BP108" s="23">
        <v>0</v>
      </c>
      <c r="BQ108" s="23">
        <v>0</v>
      </c>
      <c r="BR108" s="23">
        <v>1</v>
      </c>
    </row>
    <row r="109" spans="1:70" ht="15" customHeight="1" x14ac:dyDescent="0.25">
      <c r="A109">
        <v>2016</v>
      </c>
      <c r="B109" t="s">
        <v>4</v>
      </c>
      <c r="C109" t="s">
        <v>23</v>
      </c>
      <c r="D109" t="s">
        <v>27</v>
      </c>
      <c r="E109">
        <v>27</v>
      </c>
      <c r="F109" t="s">
        <v>215</v>
      </c>
      <c r="G109" t="s">
        <v>233</v>
      </c>
      <c r="H109" t="s">
        <v>233</v>
      </c>
      <c r="I109" t="s">
        <v>234</v>
      </c>
      <c r="J109" t="s">
        <v>234</v>
      </c>
      <c r="K109" t="s">
        <v>233</v>
      </c>
      <c r="L109" t="s">
        <v>234</v>
      </c>
      <c r="M109" s="14">
        <v>42713</v>
      </c>
      <c r="N109" s="14" t="str">
        <f t="shared" si="1"/>
        <v>2016</v>
      </c>
      <c r="O109" s="55" t="s">
        <v>202</v>
      </c>
      <c r="P109" s="56"/>
      <c r="Q109" s="56"/>
      <c r="R109" s="56"/>
      <c r="S109" s="56"/>
      <c r="T109" s="57"/>
      <c r="U109" s="5">
        <f>COUNTIFS(   D4:D451,"Minería de datos")</f>
        <v>2</v>
      </c>
      <c r="V109" s="5">
        <f>COUNTIFS(   D4:D451,"Minería de datos",F4:F451,"Hombre")</f>
        <v>2</v>
      </c>
      <c r="W109" s="5">
        <f>COUNTIFS(   D4:D451,"Minería de datos",F4:F451,"Mujer")</f>
        <v>0</v>
      </c>
      <c r="X109" s="29">
        <f>COUNTIFS(   A4:A451,"2013", D4:D451,"Minería de datos")</f>
        <v>0</v>
      </c>
      <c r="Y109" s="5">
        <f>COUNTIFS(   A4:A451,"2014", D4:D451,"Minería de datos")</f>
        <v>0</v>
      </c>
      <c r="Z109" s="5">
        <f>COUNTIFS(   A4:A451,"2015", D4:D451,"Minería de datos")</f>
        <v>0</v>
      </c>
      <c r="AA109" s="5">
        <f>COUNTIFS(   A4:A451,"2016", D4:D451,"Minería de datos")</f>
        <v>0</v>
      </c>
      <c r="AB109" s="5">
        <f>COUNTIFS(   A4:A451,"2017", D4:D451,"Minería de datos")</f>
        <v>2</v>
      </c>
      <c r="AC109" s="29">
        <f>COUNTIFS(   N4:N451,"2014", D4:D451,"Minería de datos")</f>
        <v>0</v>
      </c>
      <c r="AD109" s="5">
        <f>COUNTIFS(   N4:N451,"2015", D4:D451,"Minería de datos")</f>
        <v>0</v>
      </c>
      <c r="AE109" s="5">
        <f>COUNTIFS(   N4:N451,"2016", D4:D451,"Minería de datos")</f>
        <v>0</v>
      </c>
      <c r="AF109" s="5">
        <f>COUNTIFS(   N4:N451,"2017", D4:D451,"Minería de datos")</f>
        <v>1</v>
      </c>
      <c r="AG109" s="5">
        <f>COUNTIFS(   N4:N451,"2018", D4:D451,"Minería de datos")</f>
        <v>1</v>
      </c>
      <c r="AH109" s="5">
        <f>COUNTIFS(   D4:D451,"Minería de datos",G4:G451,"Sí")</f>
        <v>0</v>
      </c>
      <c r="AI109" s="5">
        <f>COUNTIFS(   D4:D451,"Minería de datos",G4:G451,"No")</f>
        <v>2</v>
      </c>
      <c r="AJ109" s="5">
        <f>SUMIFS( E4:E451, D4:D451,"Minería de datos",G4:G451,"Sí")</f>
        <v>0</v>
      </c>
      <c r="AK109" s="5">
        <f>SUMIFS( E4:E451, D4:D451,"Minería de datos",G4:G451,"No")</f>
        <v>23</v>
      </c>
      <c r="AL109" s="5">
        <f>COUNTIFS(   D4:D451,"Minería de datos",H4:H451,"Sí")</f>
        <v>0</v>
      </c>
      <c r="AM109" s="5">
        <f>COUNTIFS(   D4:D451,"Minería de datos",I4:I451,"Sí")</f>
        <v>1</v>
      </c>
      <c r="AN109" s="5">
        <f>COUNTIFS(   D4:D451,"Minería de datos",I4:I451,"No")</f>
        <v>1</v>
      </c>
      <c r="AO109" s="5">
        <f>SUMIFS( E4:E451, D4:D451,"Minería de datos",I4:I451,"Sí")</f>
        <v>16</v>
      </c>
      <c r="AP109" s="5">
        <f>SUMIFS( E4:E451, D4:D451,"Minería de datos",I4:I451,"No")</f>
        <v>7</v>
      </c>
      <c r="AQ109" s="5">
        <f>COUNTIFS(   D4:D451,"Minería de datos",J4:J451,"Sí")</f>
        <v>2</v>
      </c>
      <c r="AR109" s="5">
        <f>COUNTIFS(   D4:D451,"Minería de datos",K4:K451,"Sí")</f>
        <v>2</v>
      </c>
      <c r="AS109" s="5">
        <f>COUNTIFS(   D4:D451,"Minería de datos",L4:L451,"Sí")</f>
        <v>2</v>
      </c>
      <c r="AT109" s="5">
        <f>SUMIFS( E4:E451, D4:D451,"Minería de datos")</f>
        <v>23</v>
      </c>
      <c r="AU109" s="5">
        <f>SUMIFS( E4:E451, F4:F451,"Hombre", D4:D451,"Minería de datos")</f>
        <v>23</v>
      </c>
      <c r="AV109" s="5">
        <f>SUMIFS( E4:E451, F4:F451,"Mujer", D4:D451,"Minería de datos")</f>
        <v>0</v>
      </c>
      <c r="AW109" s="29">
        <f>SUMIFS( E4:E451, A4:A451,"2013", D4:D451,"Minería de datos")</f>
        <v>0</v>
      </c>
      <c r="AX109" s="5">
        <f>SUMIFS( E4:E451, A4:A451,"2014", D4:D451,"Minería de datos")</f>
        <v>0</v>
      </c>
      <c r="AY109" s="5">
        <f>SUMIFS( E4:E451, A4:A451,"2015", D4:D451,"Minería de datos")</f>
        <v>0</v>
      </c>
      <c r="AZ109" s="5">
        <f>SUMIFS( E4:E451, A4:A451,"2016", D4:D451,"Minería de datos")</f>
        <v>0</v>
      </c>
      <c r="BA109" s="5">
        <f>SUMIFS( E4:E451, A4:A451,"2017", D4:D451,"Minería de datos")</f>
        <v>23</v>
      </c>
      <c r="BB109" s="29">
        <f>SUMIFS( E4:E451, N4:N451,"2014", D4:D451,"Minería de datos")</f>
        <v>0</v>
      </c>
      <c r="BC109" s="5">
        <f>SUMIFS( E4:E451, N4:N451,"2015", D4:D451,"Minería de datos")</f>
        <v>0</v>
      </c>
      <c r="BD109" s="5">
        <f>SUMIFS( E4:E451, N4:N451,"2016", D4:D451,"Minería de datos")</f>
        <v>0</v>
      </c>
      <c r="BE109" s="5">
        <f>SUMIFS( E4:E451, N4:N451,"2017", D4:D451,"Minería de datos")</f>
        <v>7</v>
      </c>
      <c r="BF109" s="5">
        <f>SUMIFS( E4:E451, N4:N451,"2018", D4:D451,"Minería de datos")</f>
        <v>16</v>
      </c>
      <c r="BG109" s="23">
        <f>AVERAGEIFS( E4:E451, D4:D451,"Minería de datos")</f>
        <v>11.5</v>
      </c>
      <c r="BH109" s="23">
        <v>0</v>
      </c>
      <c r="BI109" s="23">
        <v>0</v>
      </c>
      <c r="BJ109" s="23">
        <v>0</v>
      </c>
      <c r="BK109" s="23">
        <v>0</v>
      </c>
      <c r="BL109" s="23">
        <f>AVERAGEIFS( E4:E451, A4:A451,"2017", D4:D451,"Minería de datos")</f>
        <v>11.5</v>
      </c>
      <c r="BM109" s="23">
        <v>1.5</v>
      </c>
      <c r="BN109" s="23">
        <v>0</v>
      </c>
      <c r="BO109" s="23">
        <v>0</v>
      </c>
      <c r="BP109" s="23">
        <v>0</v>
      </c>
      <c r="BQ109" s="23">
        <v>0</v>
      </c>
      <c r="BR109" s="23">
        <v>1.5</v>
      </c>
    </row>
    <row r="110" spans="1:70" x14ac:dyDescent="0.25">
      <c r="A110">
        <v>2016</v>
      </c>
      <c r="B110" t="s">
        <v>4</v>
      </c>
      <c r="C110" t="s">
        <v>23</v>
      </c>
      <c r="D110" t="s">
        <v>27</v>
      </c>
      <c r="E110">
        <v>17</v>
      </c>
      <c r="F110" t="s">
        <v>215</v>
      </c>
      <c r="G110" t="s">
        <v>233</v>
      </c>
      <c r="H110" t="s">
        <v>233</v>
      </c>
      <c r="I110" t="s">
        <v>234</v>
      </c>
      <c r="J110" t="s">
        <v>234</v>
      </c>
      <c r="K110" t="s">
        <v>233</v>
      </c>
      <c r="L110" t="s">
        <v>234</v>
      </c>
      <c r="M110" s="14">
        <v>42662</v>
      </c>
      <c r="N110" s="14" t="str">
        <f t="shared" si="1"/>
        <v>2016</v>
      </c>
      <c r="O110" s="55" t="s">
        <v>205</v>
      </c>
      <c r="P110" s="56"/>
      <c r="Q110" s="56"/>
      <c r="R110" s="56"/>
      <c r="S110" s="56"/>
      <c r="T110" s="57"/>
      <c r="U110" s="5">
        <f>COUNTIFS(   D4:D451,"Monitorización y Sistemas de Control Avanzados")</f>
        <v>1</v>
      </c>
      <c r="V110" s="5">
        <f>COUNTIFS(   D4:D451,"Monitorización y Sistemas de Control Avanzados",F4:F451,"Hombre")</f>
        <v>1</v>
      </c>
      <c r="W110" s="5">
        <f>COUNTIFS(   D4:D451,"Monitorización y Sistemas de Control Avanzados",F4:F451,"Mujer")</f>
        <v>0</v>
      </c>
      <c r="X110" s="29">
        <v>0</v>
      </c>
      <c r="Y110" s="5">
        <v>0</v>
      </c>
      <c r="Z110" s="5">
        <v>0</v>
      </c>
      <c r="AA110" s="5">
        <v>0</v>
      </c>
      <c r="AB110" s="5">
        <v>0</v>
      </c>
      <c r="AC110" s="29">
        <v>0</v>
      </c>
      <c r="AD110" s="5">
        <v>0</v>
      </c>
      <c r="AE110" s="5">
        <v>0</v>
      </c>
      <c r="AF110" s="5">
        <v>0</v>
      </c>
      <c r="AG110" s="5">
        <v>0</v>
      </c>
      <c r="AH110" s="5">
        <f>COUNTIFS(   D4:D451,"Monitorización y Sistemas de Control Avanzados",G4:G451,"Sí")</f>
        <v>0</v>
      </c>
      <c r="AI110" s="5">
        <f>COUNTIFS(   D4:D451,"Monitorización y Sistemas de Control Avanzados",G4:G451,"No")</f>
        <v>1</v>
      </c>
      <c r="AJ110" s="5">
        <f>SUMIFS( E4:E451, D4:D451,"Monitorización y Sistemas de Control Avanzados",G4:G451,"Sí")</f>
        <v>0</v>
      </c>
      <c r="AK110" s="5">
        <f>SUMIFS( E4:E451, D4:D451,"Monitorización y Sistemas de Control Avanzados",G4:G451,"No")</f>
        <v>3</v>
      </c>
      <c r="AL110" s="5">
        <f>COUNTIFS(   D4:D451,"Monitorización y Sistemas de Control Avanzados",H4:H451,"Sí")</f>
        <v>0</v>
      </c>
      <c r="AM110" s="5">
        <f>COUNTIFS(   D4:D451,"Monitorización y Sistemas de Control Avanzados",I4:I451,"Sí")</f>
        <v>0</v>
      </c>
      <c r="AN110" s="5">
        <f>COUNTIFS(   D4:D451,"Monitorización y Sistemas de Control Avanzados",I4:I451,"No")</f>
        <v>1</v>
      </c>
      <c r="AO110" s="5">
        <f>SUMIFS( E4:E451, D4:D451,"Monitorización y Sistemas de Control Avanzados",I4:I451,"Sí")</f>
        <v>0</v>
      </c>
      <c r="AP110" s="5">
        <f>SUMIFS( E4:E451, D4:D451,"Monitorización y Sistemas de Control Avanzados",I4:I451,"No")</f>
        <v>3</v>
      </c>
      <c r="AQ110" s="5">
        <f>COUNTIFS(   D4:D451,"Monitorización y Sistemas de Control Avanzados",J4:J451,"Sí")</f>
        <v>1</v>
      </c>
      <c r="AR110" s="5">
        <f>COUNTIFS(   D4:D451,"Monitorización y Sistemas de Control Avanzados",K4:K451,"Sí")</f>
        <v>1</v>
      </c>
      <c r="AS110" s="5">
        <f>COUNTIFS(   D4:D451,"Monitorización y Sistemas de Control Avanzados",L4:L451,"Sí")</f>
        <v>1</v>
      </c>
      <c r="AT110" s="5">
        <f>SUMIFS( E4:E451, D4:D451,"Monitorización y Sistemas de Control Avanzados")</f>
        <v>3</v>
      </c>
      <c r="AU110" s="5">
        <v>0</v>
      </c>
      <c r="AV110" s="5">
        <v>0</v>
      </c>
      <c r="AW110" s="29">
        <v>0</v>
      </c>
      <c r="AX110" s="5">
        <v>0</v>
      </c>
      <c r="AY110" s="5">
        <v>0</v>
      </c>
      <c r="AZ110" s="5">
        <v>0</v>
      </c>
      <c r="BA110" s="5">
        <v>0</v>
      </c>
      <c r="BB110" s="29">
        <v>0</v>
      </c>
      <c r="BC110" s="5">
        <v>0</v>
      </c>
      <c r="BD110" s="5">
        <v>0</v>
      </c>
      <c r="BE110" s="5">
        <v>0</v>
      </c>
      <c r="BF110" s="5">
        <v>0</v>
      </c>
      <c r="BG110" s="23">
        <f>AVERAGEIFS( E4:E451, D4:D451,"Monitorización y Sistemas de Control Avanzados")</f>
        <v>3</v>
      </c>
      <c r="BH110" s="23">
        <v>0</v>
      </c>
      <c r="BI110" s="23">
        <v>0</v>
      </c>
      <c r="BJ110" s="23">
        <v>0</v>
      </c>
      <c r="BK110" s="23">
        <v>0</v>
      </c>
      <c r="BL110" s="23">
        <v>0</v>
      </c>
      <c r="BM110" s="23">
        <v>0</v>
      </c>
      <c r="BN110" s="23">
        <v>0</v>
      </c>
      <c r="BO110" s="23">
        <v>0</v>
      </c>
      <c r="BP110" s="23">
        <v>0</v>
      </c>
      <c r="BQ110" s="23">
        <v>0</v>
      </c>
      <c r="BR110" s="23">
        <v>0</v>
      </c>
    </row>
    <row r="111" spans="1:70" ht="15" customHeight="1" x14ac:dyDescent="0.25">
      <c r="A111">
        <v>2015</v>
      </c>
      <c r="B111" t="s">
        <v>4</v>
      </c>
      <c r="C111" t="s">
        <v>23</v>
      </c>
      <c r="D111" t="s">
        <v>27</v>
      </c>
      <c r="E111">
        <v>20</v>
      </c>
      <c r="F111" t="s">
        <v>215</v>
      </c>
      <c r="G111" t="s">
        <v>233</v>
      </c>
      <c r="H111" t="s">
        <v>233</v>
      </c>
      <c r="I111" t="s">
        <v>233</v>
      </c>
      <c r="J111" t="s">
        <v>234</v>
      </c>
      <c r="K111" t="s">
        <v>233</v>
      </c>
      <c r="L111" t="s">
        <v>234</v>
      </c>
      <c r="M111" s="14">
        <v>42524</v>
      </c>
      <c r="N111" s="14" t="str">
        <f t="shared" si="1"/>
        <v>2016</v>
      </c>
      <c r="O111" s="55" t="s">
        <v>136</v>
      </c>
      <c r="P111" s="56"/>
      <c r="Q111" s="56"/>
      <c r="R111" s="56"/>
      <c r="S111" s="56"/>
      <c r="T111" s="57"/>
      <c r="U111" s="5">
        <f>COUNTIFS(   D4:D451,"Procesado y clasificación de imágenes y vídeo. Visión por computador")</f>
        <v>1</v>
      </c>
      <c r="V111" s="5">
        <f>COUNTIFS(   D4:D451,"Procesado y clasificación de imágenes y vídeo. Visión por computador",F4:F451,"Hombre")</f>
        <v>1</v>
      </c>
      <c r="W111" s="5">
        <f>COUNTIFS(   D4:D451,"Procesado y clasificación de imágenes y vídeo. Visión por computador",F4:F451,"Mujer")</f>
        <v>0</v>
      </c>
      <c r="X111" s="29">
        <f>COUNTIFS(   A4:A451,"2013", D4:D451,"Procesado y clasificación de imágenes y vídeo. Visión por computador")</f>
        <v>0</v>
      </c>
      <c r="Y111" s="5">
        <f>COUNTIFS(   A4:A451,"2014", D4:D451,"Procesado y clasificación de imágenes y vídeo. Visión por computador")</f>
        <v>0</v>
      </c>
      <c r="Z111" s="5">
        <f>COUNTIFS(   A4:A451,"2015", D4:D451,"Procesado y clasificación de imágenes y vídeo. Visión por computador")</f>
        <v>1</v>
      </c>
      <c r="AA111" s="5">
        <f>COUNTIFS(   A4:A451,"2016", D4:D451,"Procesado y clasificación de imágenes y vídeo. Visión por computador")</f>
        <v>0</v>
      </c>
      <c r="AB111" s="5">
        <f>COUNTIFS(   A4:A451,"2017", D4:D451,"Procesado y clasificación de imágenes y vídeo. Visión por computador")</f>
        <v>0</v>
      </c>
      <c r="AC111" s="29">
        <f>COUNTIFS(   N4:N451,"2014", D4:D451,"Procesado y clasificación de imágenes y vídeo. Visión por computador")</f>
        <v>0</v>
      </c>
      <c r="AD111" s="5">
        <f>COUNTIFS(   N4:N451,"2015", D4:D451,"Procesado y clasificación de imágenes y vídeo. Visión por computador")</f>
        <v>0</v>
      </c>
      <c r="AE111" s="5">
        <f>COUNTIFS(   N4:N451,"2016", D4:D451,"Procesado y clasificación de imágenes y vídeo. Visión por computador")</f>
        <v>1</v>
      </c>
      <c r="AF111" s="5">
        <f>COUNTIFS(   N4:N451,"2017", D4:D451,"Procesado y clasificación de imágenes y vídeo. Visión por computador")</f>
        <v>0</v>
      </c>
      <c r="AG111" s="5">
        <f>COUNTIFS(   N4:N451,"2018", D4:D451,"Procesado y clasificación de imágenes y vídeo. Visión por computador")</f>
        <v>0</v>
      </c>
      <c r="AH111" s="5">
        <f>COUNTIFS(   D4:D451,"Procesado y clasificación de imágenes y vídeo. Visión por computador",G4:G451,"Sí")</f>
        <v>0</v>
      </c>
      <c r="AI111" s="5">
        <f>COUNTIFS(   D4:D451,"Procesado y clasificación de imágenes y vídeo. Visión por computador",G4:G451,"No")</f>
        <v>1</v>
      </c>
      <c r="AJ111" s="5">
        <f>SUMIFS( E4:E451, D4:D451,"Procesado y clasificación de imágenes y vídeo. Visión por computador",G4:G451,"Sí")</f>
        <v>0</v>
      </c>
      <c r="AK111" s="5">
        <f>SUMIFS( E4:E451, D4:D451,"Procesado y clasificación de imágenes y vídeo. Visión por computador",G4:G451,"No")</f>
        <v>6</v>
      </c>
      <c r="AL111" s="5">
        <f>COUNTIFS(   D4:D451,"Procesado y clasificación de imágenes y vídeo. Visión por computador",H4:H451,"Sí")</f>
        <v>0</v>
      </c>
      <c r="AM111" s="5">
        <f>COUNTIFS(   D4:D451,"Procesado y clasificación de imágenes y vídeo. Visión por computador",I4:I451,"Sí")</f>
        <v>1</v>
      </c>
      <c r="AN111" s="5">
        <f>COUNTIFS(   D4:D451,"Procesado y clasificación de imágenes y vídeo. Visión por computador",I4:I451,"No")</f>
        <v>0</v>
      </c>
      <c r="AO111" s="5">
        <f>SUMIFS( E4:E451, D4:D451,"Procesado y clasificación de imágenes y vídeo. Visión por computador",I4:I451,"Sí")</f>
        <v>6</v>
      </c>
      <c r="AP111" s="5">
        <f>SUMIFS( E4:E451, D4:D451,"Procesado y clasificación de imágenes y vídeo. Visión por computador",I4:I451,"No")</f>
        <v>0</v>
      </c>
      <c r="AQ111" s="5">
        <f>COUNTIFS(   D4:D451,"Procesado y clasificación de imágenes y vídeo. Visión por computador",J4:J451,"Sí")</f>
        <v>1</v>
      </c>
      <c r="AR111" s="5">
        <f>COUNTIFS(   D4:D451,"Procesado y clasificación de imágenes y vídeo. Visión por computador",K4:K451,"Sí")</f>
        <v>0</v>
      </c>
      <c r="AS111" s="5">
        <f>COUNTIFS(   D4:D451,"Procesado y clasificación de imágenes y vídeo. Visión por computador",L4:L451,"Sí")</f>
        <v>1</v>
      </c>
      <c r="AT111" s="5">
        <f>SUMIFS( E4:E451, D4:D451,"Procesado y clasificación de imágenes y vídeo. Visión por computador")</f>
        <v>6</v>
      </c>
      <c r="AU111" s="5">
        <f>SUMIFS( E4:E451, F4:F451,"Hombre", D4:D451,"Procesado y clasificación de imágenes y vídeo. Visión por computador")</f>
        <v>6</v>
      </c>
      <c r="AV111" s="5">
        <f>SUMIFS( E4:E451, F4:F451,"Mujer", D4:D451,"Procesado y clasificación de imágenes y vídeo. Visión por computador")</f>
        <v>0</v>
      </c>
      <c r="AW111" s="29">
        <f>SUMIFS( E4:E451, A4:A451,"2013", D4:D451,"Procesado y clasificación de imágenes y vídeo. Visión por computador")</f>
        <v>0</v>
      </c>
      <c r="AX111" s="5">
        <f>SUMIFS( E4:E451, A4:A451,"2014", D4:D451,"Procesado y clasificación de imágenes y vídeo. Visión por computador")</f>
        <v>0</v>
      </c>
      <c r="AY111" s="5">
        <f>SUMIFS( E4:E451, A4:A451,"2015", D4:D451,"Procesado y clasificación de imágenes y vídeo. Visión por computador")</f>
        <v>6</v>
      </c>
      <c r="AZ111" s="5">
        <f>SUMIFS( E4:E451, A4:A451,"2016", D4:D451,"Procesado y clasificación de imágenes y vídeo. Visión por computador")</f>
        <v>0</v>
      </c>
      <c r="BA111" s="5">
        <f>SUMIFS( E4:E451, A4:A451,"2017", D4:D451,"Procesado y clasificación de imágenes y vídeo. Visión por computador")</f>
        <v>0</v>
      </c>
      <c r="BB111" s="29">
        <f>SUMIFS( E4:E451, N4:N451,"2014", D4:D451,"Procesado y clasificación de imágenes y vídeo. Visión por computador")</f>
        <v>0</v>
      </c>
      <c r="BC111" s="5">
        <f>SUMIFS( E4:E451, N4:N451,"2015", D4:D451,"Procesado y clasificación de imágenes y vídeo. Visión por computador")</f>
        <v>0</v>
      </c>
      <c r="BD111" s="5">
        <f>SUMIFS( E4:E451, N4:N451,"2016", D4:D451,"Procesado y clasificación de imágenes y vídeo. Visión por computador")</f>
        <v>6</v>
      </c>
      <c r="BE111" s="5">
        <f>SUMIFS( E4:E451, N4:N451,"2017", D4:D451,"Procesado y clasificación de imágenes y vídeo. Visión por computador")</f>
        <v>0</v>
      </c>
      <c r="BF111" s="5">
        <f>SUMIFS( E4:E451, N4:N451,"2018", D4:D451,"Procesado y clasificación de imágenes y vídeo. Visión por computador")</f>
        <v>0</v>
      </c>
      <c r="BG111" s="23">
        <f>AVERAGEIFS( E4:E451, D4:D451,"Procesado y clasificación de imágenes y vídeo. Visión por computador")</f>
        <v>6</v>
      </c>
      <c r="BH111" s="23">
        <v>0</v>
      </c>
      <c r="BI111" s="23">
        <v>0</v>
      </c>
      <c r="BJ111" s="23">
        <f>AVERAGEIFS( E4:E451, A4:A451,"2015", D4:D451,"Procesado y clasificación de imágenes y vídeo. Visión por computador")</f>
        <v>6</v>
      </c>
      <c r="BK111" s="23">
        <v>0</v>
      </c>
      <c r="BL111" s="23">
        <v>0</v>
      </c>
      <c r="BM111" s="23">
        <v>6</v>
      </c>
      <c r="BN111" s="23">
        <v>0</v>
      </c>
      <c r="BO111" s="23">
        <v>0</v>
      </c>
      <c r="BP111" s="23">
        <v>6</v>
      </c>
      <c r="BQ111" s="23">
        <v>0</v>
      </c>
      <c r="BR111" s="23">
        <v>0</v>
      </c>
    </row>
    <row r="112" spans="1:70" x14ac:dyDescent="0.25">
      <c r="A112">
        <v>2015</v>
      </c>
      <c r="B112" t="s">
        <v>4</v>
      </c>
      <c r="C112" t="s">
        <v>23</v>
      </c>
      <c r="D112" t="s">
        <v>27</v>
      </c>
      <c r="E112">
        <v>49</v>
      </c>
      <c r="F112" t="s">
        <v>215</v>
      </c>
      <c r="G112" t="s">
        <v>233</v>
      </c>
      <c r="H112" t="s">
        <v>233</v>
      </c>
      <c r="I112" t="s">
        <v>233</v>
      </c>
      <c r="J112" t="s">
        <v>234</v>
      </c>
      <c r="K112" t="s">
        <v>233</v>
      </c>
      <c r="L112" t="s">
        <v>234</v>
      </c>
      <c r="M112" s="14">
        <v>42522</v>
      </c>
      <c r="N112" s="14" t="str">
        <f t="shared" si="1"/>
        <v>2016</v>
      </c>
      <c r="O112" s="55" t="s">
        <v>203</v>
      </c>
      <c r="P112" s="56"/>
      <c r="Q112" s="56"/>
      <c r="R112" s="56"/>
      <c r="S112" s="56"/>
      <c r="T112" s="57"/>
      <c r="U112" s="5">
        <f>COUNTIFS(   D4:D451,"Sistemas de Información y Bases de datos")</f>
        <v>1</v>
      </c>
      <c r="V112" s="5">
        <f>COUNTIFS(   D4:D451,"Sistemas de Información y Bases de datos",F4:F451,"Hombre")</f>
        <v>1</v>
      </c>
      <c r="W112" s="5">
        <f>COUNTIFS(   D4:D451,"Sistemas de Información y Bases de datos",F4:F451,"Mujer")</f>
        <v>0</v>
      </c>
      <c r="X112" s="29">
        <v>0</v>
      </c>
      <c r="Y112" s="5">
        <v>0</v>
      </c>
      <c r="Z112" s="5">
        <v>0</v>
      </c>
      <c r="AA112" s="5">
        <v>0</v>
      </c>
      <c r="AB112" s="5">
        <v>0</v>
      </c>
      <c r="AC112" s="29">
        <v>0</v>
      </c>
      <c r="AD112" s="5">
        <v>0</v>
      </c>
      <c r="AE112" s="5">
        <v>0</v>
      </c>
      <c r="AF112" s="5">
        <v>0</v>
      </c>
      <c r="AG112" s="5">
        <v>0</v>
      </c>
      <c r="AH112" s="5">
        <f>COUNTIFS(   D4:D451,"Sistemas de Información y Bases de datos",G4:G451,"Sí")</f>
        <v>0</v>
      </c>
      <c r="AI112" s="5">
        <f>COUNTIFS(   D4:D451,"Sistemas de Información y Bases de datos",G4:G451,"No")</f>
        <v>1</v>
      </c>
      <c r="AJ112" s="5">
        <f>SUMIFS( E4:E451, D4:D451,"Sistemas de Información y Bases de datos",G4:G451,"Sí")</f>
        <v>0</v>
      </c>
      <c r="AK112" s="5">
        <f>SUMIFS( E4:E451, D4:D451,"Sistemas de Información y Bases de datos",G4:G451,"No")</f>
        <v>3</v>
      </c>
      <c r="AL112" s="5">
        <f>COUNTIFS(   D4:D451,"Sistemas de Información y Bases de datos",H4:H451,"Sí")</f>
        <v>1</v>
      </c>
      <c r="AM112" s="5">
        <f>COUNTIFS(   D4:D451,"Sistemas de Información y Bases de datos",I4:I451,"Sí")</f>
        <v>0</v>
      </c>
      <c r="AN112" s="5">
        <f>COUNTIFS(   D4:D451,"Sistemas de Información y Bases de datos",I4:I451,"No")</f>
        <v>1</v>
      </c>
      <c r="AO112" s="5">
        <f>SUMIFS( E4:E451, D4:D451,"Sistemas de Información y Bases de datos",I4:I451,"Sí")</f>
        <v>0</v>
      </c>
      <c r="AP112" s="5">
        <f>SUMIFS( E4:E451, D4:D451,"Sistemas de Información y Bases de datos",I4:I451,"No")</f>
        <v>3</v>
      </c>
      <c r="AQ112" s="5">
        <f>COUNTIFS(   D4:D451,"Sistemas de Información y Bases de datos",J4:J451,"Sí")</f>
        <v>0</v>
      </c>
      <c r="AR112" s="5">
        <f>COUNTIFS(   D4:D451,"Sistemas de Información y Bases de datos",K4:K451,"Sí")</f>
        <v>1</v>
      </c>
      <c r="AS112" s="5">
        <f>COUNTIFS(   D4:D451,"Sistemas de Información y Bases de datos",L4:L451,"Sí")</f>
        <v>1</v>
      </c>
      <c r="AT112" s="5">
        <f>SUMIFS( E4:E451, D4:D451,"Sistemas de Información y Bases de datos")</f>
        <v>3</v>
      </c>
      <c r="AU112" s="5">
        <v>0</v>
      </c>
      <c r="AV112" s="5">
        <v>0</v>
      </c>
      <c r="AW112" s="29">
        <v>0</v>
      </c>
      <c r="AX112" s="5">
        <v>0</v>
      </c>
      <c r="AY112" s="5">
        <v>0</v>
      </c>
      <c r="AZ112" s="5">
        <v>0</v>
      </c>
      <c r="BA112" s="5">
        <v>0</v>
      </c>
      <c r="BB112" s="29">
        <v>0</v>
      </c>
      <c r="BC112" s="5">
        <v>0</v>
      </c>
      <c r="BD112" s="5">
        <v>0</v>
      </c>
      <c r="BE112" s="5">
        <v>0</v>
      </c>
      <c r="BF112" s="5">
        <v>0</v>
      </c>
      <c r="BG112" s="23">
        <f>AVERAGEIFS( E4:E451, D4:D451,"Sistemas de Información y Bases de datos")</f>
        <v>3</v>
      </c>
      <c r="BH112" s="23">
        <v>0</v>
      </c>
      <c r="BI112" s="23">
        <v>0</v>
      </c>
      <c r="BJ112" s="23">
        <v>0</v>
      </c>
      <c r="BK112" s="23">
        <v>0</v>
      </c>
      <c r="BL112" s="23">
        <v>0</v>
      </c>
      <c r="BM112" s="23">
        <v>0</v>
      </c>
      <c r="BN112" s="23">
        <v>0</v>
      </c>
      <c r="BO112" s="23">
        <v>0</v>
      </c>
      <c r="BP112" s="23">
        <v>0</v>
      </c>
      <c r="BQ112" s="23">
        <v>0</v>
      </c>
      <c r="BR112" s="23">
        <v>0</v>
      </c>
    </row>
    <row r="113" spans="1:70" ht="15" customHeight="1" x14ac:dyDescent="0.25">
      <c r="A113">
        <v>2015</v>
      </c>
      <c r="B113" t="s">
        <v>4</v>
      </c>
      <c r="C113" t="s">
        <v>23</v>
      </c>
      <c r="D113" t="s">
        <v>25</v>
      </c>
      <c r="E113" s="17">
        <v>19</v>
      </c>
      <c r="F113" t="s">
        <v>211</v>
      </c>
      <c r="G113" t="s">
        <v>233</v>
      </c>
      <c r="H113" t="s">
        <v>233</v>
      </c>
      <c r="I113" t="s">
        <v>234</v>
      </c>
      <c r="J113" t="s">
        <v>234</v>
      </c>
      <c r="K113" t="s">
        <v>233</v>
      </c>
      <c r="L113" t="s">
        <v>234</v>
      </c>
      <c r="M113" s="14">
        <v>42494</v>
      </c>
      <c r="N113" s="14" t="str">
        <f t="shared" si="1"/>
        <v>2016</v>
      </c>
      <c r="O113" s="55" t="s">
        <v>134</v>
      </c>
      <c r="P113" s="56"/>
      <c r="Q113" s="56"/>
      <c r="R113" s="56"/>
      <c r="S113" s="56"/>
      <c r="T113" s="57"/>
      <c r="U113" s="5">
        <f>COUNTIFS(   D4:D451,"Sistemas Inteligentes de Ayuda a la Decisión")</f>
        <v>1</v>
      </c>
      <c r="V113" s="5">
        <f>COUNTIFS(   D4:D451,"Sistemas Inteligentes de Ayuda a la Decisión",F4:F451,"Hombre")</f>
        <v>0</v>
      </c>
      <c r="W113" s="5">
        <f>COUNTIFS(   D4:D451,"Sistemas Inteligentes de Ayuda a la Decisión",F4:F451,"Mujer")</f>
        <v>1</v>
      </c>
      <c r="X113" s="29">
        <f>COUNTIFS(   A4:A451,"2013", D4:D451,"Sistemas Inteligentes de Ayuda a la Decisión")</f>
        <v>0</v>
      </c>
      <c r="Y113" s="5">
        <f>COUNTIFS(   A4:A451,"2014", D4:D451,"Sistemas Inteligentes de Ayuda a la Decisión")</f>
        <v>0</v>
      </c>
      <c r="Z113" s="5">
        <f>COUNTIFS(   A4:A451,"2015", D4:D451,"Sistemas Inteligentes de Ayuda a la Decisión")</f>
        <v>0</v>
      </c>
      <c r="AA113" s="5">
        <f>COUNTIFS(   A4:A451,"2016", D4:D451,"Sistemas Inteligentes de Ayuda a la Decisión")</f>
        <v>1</v>
      </c>
      <c r="AB113" s="5">
        <f>COUNTIFS(   A4:A451,"2017", D4:D451,"Sistemas Inteligentes de Ayuda a la Decisión")</f>
        <v>0</v>
      </c>
      <c r="AC113" s="29">
        <f>COUNTIFS(   N4:N451,"2014", D4:D451,"Sistemas Inteligentes de Ayuda a la Decisión")</f>
        <v>0</v>
      </c>
      <c r="AD113" s="5">
        <f>COUNTIFS(   N4:N451,"2015", D4:D451,"Sistemas Inteligentes de Ayuda a la Decisión")</f>
        <v>0</v>
      </c>
      <c r="AE113" s="5">
        <f>COUNTIFS(   N4:N451,"2016", D4:D451,"Sistemas Inteligentes de Ayuda a la Decisión")</f>
        <v>0</v>
      </c>
      <c r="AF113" s="5">
        <f>COUNTIFS(   N4:N451,"2017", D4:D451,"Sistemas Inteligentes de Ayuda a la Decisión")</f>
        <v>1</v>
      </c>
      <c r="AG113" s="5">
        <f>COUNTIFS(   N4:N451,"2018", D4:D451,"Sistemas Inteligentes de Ayuda a la Decisión")</f>
        <v>0</v>
      </c>
      <c r="AH113" s="5">
        <f>COUNTIFS(   D4:D451,"Sistemas Inteligentes de Ayuda a la Decisión",G4:G451,"Sí")</f>
        <v>0</v>
      </c>
      <c r="AI113" s="5">
        <f>COUNTIFS(   D4:D451,"Sistemas Inteligentes de Ayuda a la Decisión",G4:G451,"No")</f>
        <v>1</v>
      </c>
      <c r="AJ113" s="5">
        <f>SUMIFS( E4:E451, D4:D451,"Sistemas Inteligentes de Ayuda a la Decisión",G4:G451,"Sí")</f>
        <v>0</v>
      </c>
      <c r="AK113" s="5">
        <f>SUMIFS( E4:E451, D4:D451,"Sistemas Inteligentes de Ayuda a la Decisión",G4:G451,"No")</f>
        <v>4</v>
      </c>
      <c r="AL113" s="5">
        <f>COUNTIFS(   D4:D451,"Sistemas Inteligentes de Ayuda a la Decisión",H4:H451,"Sí")</f>
        <v>0</v>
      </c>
      <c r="AM113" s="5">
        <f>COUNTIFS(   D4:D451,"Sistemas Inteligentes de Ayuda a la Decisión",I4:I451,"Sí")</f>
        <v>0</v>
      </c>
      <c r="AN113" s="5">
        <f>COUNTIFS(   D4:D451,"Sistemas Inteligentes de Ayuda a la Decisión",I4:I451,"No")</f>
        <v>1</v>
      </c>
      <c r="AO113" s="5">
        <f>SUMIFS( E4:E451, D4:D451,"Sistemas Inteligentes de Ayuda a la Decisión",I4:I451,"Sí")</f>
        <v>0</v>
      </c>
      <c r="AP113" s="5">
        <f>SUMIFS( E4:E451, D4:D451,"Sistemas Inteligentes de Ayuda a la Decisión",I4:I451,"No")</f>
        <v>4</v>
      </c>
      <c r="AQ113" s="5">
        <f>COUNTIFS(   D4:D451,"Sistemas Inteligentes de Ayuda a la Decisión",J4:J451,"Sí")</f>
        <v>1</v>
      </c>
      <c r="AR113" s="5">
        <f>COUNTIFS(   D4:D451,"Sistemas Inteligentes de Ayuda a la Decisión",K4:K451,"Sí")</f>
        <v>0</v>
      </c>
      <c r="AS113" s="5">
        <f>COUNTIFS(   D4:D451,"Sistemas Inteligentes de Ayuda a la Decisión",L4:L451,"Sí")</f>
        <v>1</v>
      </c>
      <c r="AT113" s="5">
        <f>SUMIFS( E4:E451, D4:D451,"Sistemas Inteligentes de Ayuda a la Decisión")</f>
        <v>4</v>
      </c>
      <c r="AU113" s="5">
        <f>SUMIFS( E4:E451, F4:F451,"Hombre", D4:D451,"Sistemas Inteligentes de Ayuda a la Decisión")</f>
        <v>0</v>
      </c>
      <c r="AV113" s="5">
        <f>SUMIFS( E4:E451, F4:F451,"Mujer", D4:D451,"Sistemas Inteligentes de Ayuda a la Decisión")</f>
        <v>4</v>
      </c>
      <c r="AW113" s="29">
        <f>SUMIFS( E4:E451, A4:A451,"2013", D4:D451,"Sistemas Inteligentes de Ayuda a la Decisión")</f>
        <v>0</v>
      </c>
      <c r="AX113" s="5">
        <f>SUMIFS( E4:E451, A4:A451,"2014", D4:D451,"Sistemas Inteligentes de Ayuda a la Decisión")</f>
        <v>0</v>
      </c>
      <c r="AY113" s="5">
        <f>SUMIFS( E4:E451, A4:A451,"2015", D4:D451,"Sistemas Inteligentes de Ayuda a la Decisión")</f>
        <v>0</v>
      </c>
      <c r="AZ113" s="5">
        <f>SUMIFS( E4:E451, A4:A451,"2016", D4:D451,"Sistemas Inteligentes de Ayuda a la Decisión")</f>
        <v>4</v>
      </c>
      <c r="BA113" s="5">
        <f>SUMIFS( E4:E451, A4:A451,"2017", D4:D451,"Sistemas Inteligentes de Ayuda a la Decisión")</f>
        <v>0</v>
      </c>
      <c r="BB113" s="29">
        <f>SUMIFS( E4:E451, N4:N451,"2014", D4:D451,"Sistemas Inteligentes de Ayuda a la Decisión")</f>
        <v>0</v>
      </c>
      <c r="BC113" s="5">
        <f>SUMIFS( E4:E451, N4:N451,"2015", D4:D451,"Sistemas Inteligentes de Ayuda a la Decisión")</f>
        <v>0</v>
      </c>
      <c r="BD113" s="5">
        <f>SUMIFS( E4:E451, N4:N451,"2016", D4:D451,"Sistemas Inteligentes de Ayuda a la Decisión")</f>
        <v>0</v>
      </c>
      <c r="BE113" s="5">
        <f>SUMIFS( E4:E451, N4:N451,"2017", D4:D451,"Sistemas Inteligentes de Ayuda a la Decisión")</f>
        <v>4</v>
      </c>
      <c r="BF113" s="5">
        <f>SUMIFS( E4:E451, N4:N451,"2018", D4:D451,"Sistemas Inteligentes de Ayuda a la Decisión")</f>
        <v>0</v>
      </c>
      <c r="BG113" s="23">
        <f>AVERAGEIFS( E4:E451, D4:D451,"Sistemas Inteligentes de Ayuda a la Decisión")</f>
        <v>4</v>
      </c>
      <c r="BH113" s="23">
        <v>0</v>
      </c>
      <c r="BI113" s="23">
        <v>0</v>
      </c>
      <c r="BJ113" s="23">
        <v>0</v>
      </c>
      <c r="BK113" s="23">
        <f>AVERAGEIFS( E4:E451, A4:A451,"2016", D4:D451,"Sistemas Inteligentes de Ayuda a la Decisión")</f>
        <v>4</v>
      </c>
      <c r="BL113" s="23">
        <v>0</v>
      </c>
      <c r="BM113" s="23">
        <v>4</v>
      </c>
      <c r="BN113" s="23">
        <v>0</v>
      </c>
      <c r="BO113" s="23">
        <v>0</v>
      </c>
      <c r="BP113" s="23">
        <v>0</v>
      </c>
      <c r="BQ113" s="23">
        <v>4</v>
      </c>
      <c r="BR113" s="23">
        <v>0</v>
      </c>
    </row>
    <row r="114" spans="1:70" ht="15" customHeight="1" x14ac:dyDescent="0.25">
      <c r="A114">
        <v>2015</v>
      </c>
      <c r="B114" t="s">
        <v>4</v>
      </c>
      <c r="C114" t="s">
        <v>23</v>
      </c>
      <c r="D114" t="s">
        <v>29</v>
      </c>
      <c r="E114" s="17">
        <v>47</v>
      </c>
      <c r="F114" t="s">
        <v>215</v>
      </c>
      <c r="G114" t="s">
        <v>233</v>
      </c>
      <c r="H114" t="s">
        <v>233</v>
      </c>
      <c r="I114" t="s">
        <v>234</v>
      </c>
      <c r="J114" t="s">
        <v>234</v>
      </c>
      <c r="K114" t="s">
        <v>233</v>
      </c>
      <c r="L114" t="s">
        <v>234</v>
      </c>
      <c r="M114" s="14">
        <v>42433</v>
      </c>
      <c r="N114" s="14" t="str">
        <f t="shared" si="1"/>
        <v>2016</v>
      </c>
      <c r="O114" s="55" t="s">
        <v>133</v>
      </c>
      <c r="P114" s="56"/>
      <c r="Q114" s="56"/>
      <c r="R114" s="56"/>
      <c r="S114" s="56"/>
      <c r="T114" s="57"/>
      <c r="U114" s="5">
        <f>COUNTIFS(   D4:D451,"Soft computing")</f>
        <v>4</v>
      </c>
      <c r="V114" s="5">
        <f>COUNTIFS(   D4:D451,"Soft computing",F4:F451,"Hombre")</f>
        <v>2</v>
      </c>
      <c r="W114" s="5">
        <f>COUNTIFS(   D4:D451,"Soft computing",F4:F451,"Mujer")</f>
        <v>2</v>
      </c>
      <c r="X114" s="29">
        <f>COUNTIFS(   A4:A451,"2013", D4:D451,"Soft computing")</f>
        <v>0</v>
      </c>
      <c r="Y114" s="5">
        <f>COUNTIFS(   A4:A451,"2014", D4:D451,"Soft computing")</f>
        <v>0</v>
      </c>
      <c r="Z114" s="5">
        <f>COUNTIFS(   A4:A451,"2015", D4:D451,"Soft computing")</f>
        <v>1</v>
      </c>
      <c r="AA114" s="5">
        <f>COUNTIFS(   A4:A451,"2016", D4:D451,"Soft computing")</f>
        <v>1</v>
      </c>
      <c r="AB114" s="5">
        <f>COUNTIFS(   A4:A451,"2017", D4:D451,"Soft computing")</f>
        <v>2</v>
      </c>
      <c r="AC114" s="29">
        <f>COUNTIFS(   N4:N451,"2014", D4:D451,"Soft computing")</f>
        <v>0</v>
      </c>
      <c r="AD114" s="5">
        <f>COUNTIFS(   N4:N451,"2015", D4:D451,"Soft computing")</f>
        <v>0</v>
      </c>
      <c r="AE114" s="5">
        <f>COUNTIFS(   N4:N451,"2016", D4:D451,"Soft computing")</f>
        <v>1</v>
      </c>
      <c r="AF114" s="5">
        <f>COUNTIFS(   N4:N451,"2017", D4:D451,"Soft computing")</f>
        <v>1</v>
      </c>
      <c r="AG114" s="5">
        <f>COUNTIFS(   N4:N451,"2018", D4:D451,"Soft computing")</f>
        <v>2</v>
      </c>
      <c r="AH114" s="5">
        <f>COUNTIFS(   D4:D451,"Soft computing",G4:G451,"Sí")</f>
        <v>0</v>
      </c>
      <c r="AI114" s="5">
        <f>COUNTIFS(   D4:D451,"Soft computing",G4:G451,"No")</f>
        <v>4</v>
      </c>
      <c r="AJ114" s="5">
        <f>SUMIFS( E4:E451, D4:D451,"Soft computing",G4:G451,"Sí")</f>
        <v>0</v>
      </c>
      <c r="AK114" s="5">
        <f>SUMIFS( E4:E451, D4:D451,"Soft computing",G4:G451,"No")</f>
        <v>16</v>
      </c>
      <c r="AL114" s="5">
        <f>COUNTIFS(   D4:D451,"Soft computing",H4:H451,"Sí")</f>
        <v>2</v>
      </c>
      <c r="AM114" s="5">
        <f>COUNTIFS(   D4:D451,"Soft computing",I4:I451,"Sí")</f>
        <v>0</v>
      </c>
      <c r="AN114" s="5">
        <f>COUNTIFS(   D4:D451,"Soft computing",I4:I451,"No")</f>
        <v>4</v>
      </c>
      <c r="AO114" s="5">
        <f>SUMIFS( E4:E451, D4:D451,"Soft computing",I4:I451,"Sí")</f>
        <v>0</v>
      </c>
      <c r="AP114" s="5">
        <f>SUMIFS( E4:E451, D4:D451,"Soft computing",I4:I451,"No")</f>
        <v>16</v>
      </c>
      <c r="AQ114" s="5">
        <f>COUNTIFS(   D4:D451,"Soft computing",J4:J451,"Sí")</f>
        <v>4</v>
      </c>
      <c r="AR114" s="5">
        <f>COUNTIFS(   D4:D451,"Soft computing",K4:K451,"Sí")</f>
        <v>2</v>
      </c>
      <c r="AS114" s="5">
        <f>COUNTIFS(   D4:D451,"Soft computing",L4:L451,"Sí")</f>
        <v>4</v>
      </c>
      <c r="AT114" s="5">
        <f>SUMIFS( E4:E451, D4:D451,"Soft computing")</f>
        <v>16</v>
      </c>
      <c r="AU114" s="5">
        <f>SUMIFS( E4:E451, F4:F451,"Hombre", D4:D451,"Soft computing")</f>
        <v>14</v>
      </c>
      <c r="AV114" s="5">
        <f>SUMIFS( E4:E451, F4:F451,"Mujer", D4:D451,"Soft computing")</f>
        <v>2</v>
      </c>
      <c r="AW114" s="29">
        <f>SUMIFS( E4:E451, A4:A451,"2013", D4:D451,"Soft computing")</f>
        <v>0</v>
      </c>
      <c r="AX114" s="5">
        <f>SUMIFS( E4:E451, A4:A451,"2014", D4:D451,"Soft computing")</f>
        <v>0</v>
      </c>
      <c r="AY114" s="5">
        <f>SUMIFS( E4:E451, A4:A451,"2015", D4:D451,"Soft computing")</f>
        <v>4</v>
      </c>
      <c r="AZ114" s="5">
        <f>SUMIFS( E4:E451, A4:A451,"2016", D4:D451,"Soft computing")</f>
        <v>0</v>
      </c>
      <c r="BA114" s="5">
        <f>SUMIFS( E4:E451, A4:A451,"2017", D4:D451,"Soft computing")</f>
        <v>12</v>
      </c>
      <c r="BB114" s="29">
        <f>SUMIFS( E4:E451, N4:N451,"2014", D4:D451,"Soft computing")</f>
        <v>0</v>
      </c>
      <c r="BC114" s="5">
        <f>SUMIFS( E4:E451, N4:N451,"2015", D4:D451,"Soft computing")</f>
        <v>0</v>
      </c>
      <c r="BD114" s="5">
        <f>SUMIFS( E4:E451, N4:N451,"2016", D4:D451,"Soft computing")</f>
        <v>4</v>
      </c>
      <c r="BE114" s="5">
        <f>SUMIFS( E4:E451, N4:N451,"2017", D4:D451,"Soft computing")</f>
        <v>0</v>
      </c>
      <c r="BF114" s="5">
        <f>SUMIFS( E4:E451, N4:N451,"2018", D4:D451,"Soft computing")</f>
        <v>12</v>
      </c>
      <c r="BG114" s="23">
        <f>AVERAGEIFS( E4:E451, D4:D451,"Soft computing")</f>
        <v>4</v>
      </c>
      <c r="BH114" s="23">
        <v>0</v>
      </c>
      <c r="BI114" s="23">
        <v>0</v>
      </c>
      <c r="BJ114" s="23">
        <f>AVERAGEIFS( E4:E451, A4:A451,"2015", D4:D451,"Soft computing")</f>
        <v>4</v>
      </c>
      <c r="BK114" s="23">
        <f>AVERAGEIFS( E4:E451, A4:A451,"2016", D4:D451,"Soft computing")</f>
        <v>0</v>
      </c>
      <c r="BL114" s="23">
        <f>AVERAGEIFS( E4:E451, A4:A451,"2017", D4:D451,"Soft computing")</f>
        <v>6</v>
      </c>
      <c r="BM114" s="23">
        <v>1</v>
      </c>
      <c r="BN114" s="23">
        <v>0</v>
      </c>
      <c r="BO114" s="23">
        <v>0</v>
      </c>
      <c r="BP114" s="23">
        <v>4</v>
      </c>
      <c r="BQ114" s="23">
        <v>0</v>
      </c>
      <c r="BR114" s="23">
        <v>0</v>
      </c>
    </row>
    <row r="115" spans="1:70" ht="15" customHeight="1" x14ac:dyDescent="0.25">
      <c r="A115">
        <v>2015</v>
      </c>
      <c r="B115" t="s">
        <v>4</v>
      </c>
      <c r="C115" t="s">
        <v>23</v>
      </c>
      <c r="D115" t="s">
        <v>27</v>
      </c>
      <c r="E115">
        <v>10</v>
      </c>
      <c r="F115" t="s">
        <v>211</v>
      </c>
      <c r="G115" t="s">
        <v>233</v>
      </c>
      <c r="H115" t="s">
        <v>233</v>
      </c>
      <c r="I115" t="s">
        <v>233</v>
      </c>
      <c r="J115" t="s">
        <v>234</v>
      </c>
      <c r="K115" t="s">
        <v>233</v>
      </c>
      <c r="L115" t="s">
        <v>234</v>
      </c>
      <c r="M115" s="14">
        <v>42356</v>
      </c>
      <c r="N115" s="14" t="str">
        <f t="shared" si="1"/>
        <v>2015</v>
      </c>
      <c r="O115" s="9" t="s">
        <v>216</v>
      </c>
      <c r="P115" s="10"/>
      <c r="Q115" s="10"/>
      <c r="R115" s="10"/>
      <c r="S115" s="10"/>
      <c r="T115" s="11"/>
      <c r="U115" s="15">
        <f>COUNTIFS(   B4:B451,"Humanidades y Ciencias Sociales y Jurídicas")</f>
        <v>176</v>
      </c>
      <c r="V115" s="15">
        <f>COUNTIFS(   B4:B451,"Humanidades y Ciencias Sociales y Jurídicas",F4:F451,"Hombre")</f>
        <v>94</v>
      </c>
      <c r="W115" s="15">
        <f>COUNTIFS(   B4:B451,"Humanidades y Ciencias Sociales y Jurídicas",F4:F451,"Mujer")</f>
        <v>82</v>
      </c>
      <c r="X115" s="30">
        <f>COUNTIFS(   A4:A451,"2013", B4:B451,"Humanidades y Ciencias Sociales y Jurídicas")</f>
        <v>0</v>
      </c>
      <c r="Y115" s="15">
        <f>COUNTIFS(   A4:A451,"2014", B4:B451,"Humanidades y Ciencias Sociales y Jurídicas")</f>
        <v>0</v>
      </c>
      <c r="Z115" s="15">
        <f>COUNTIFS(   A4:A451,"2015", B4:B451,"Humanidades y Ciencias Sociales y Jurídicas")</f>
        <v>16</v>
      </c>
      <c r="AA115" s="15">
        <f>COUNTIFS(   A4:A451,"2016", B4:B451,"Humanidades y Ciencias Sociales y Jurídicas")</f>
        <v>83</v>
      </c>
      <c r="AB115" s="15">
        <f>COUNTIFS(   A4:A451,"2017", B4:B451,"Humanidades y Ciencias Sociales y Jurídicas")</f>
        <v>77</v>
      </c>
      <c r="AC115" s="30">
        <f>COUNTIFS(   N4:N451,"2014", B4:B451,"Humanidades y Ciencias Sociales y Jurídicas")</f>
        <v>0</v>
      </c>
      <c r="AD115" s="15">
        <f>COUNTIFS(   N4:N451,"2015", B4:B451,"Humanidades y Ciencias Sociales y Jurídicas")</f>
        <v>1</v>
      </c>
      <c r="AE115" s="15">
        <f>COUNTIFS(   N4:N451,"2016", B4:B451,"Humanidades y Ciencias Sociales y Jurídicas")</f>
        <v>30</v>
      </c>
      <c r="AF115" s="15">
        <f>COUNTIFS(   N4:N451,"2017", B4:B451,"Humanidades y Ciencias Sociales y Jurídicas")</f>
        <v>104</v>
      </c>
      <c r="AG115" s="15">
        <f>COUNTIFS(   N4:N451,"2018", B4:B451,"Humanidades y Ciencias Sociales y Jurídicas")</f>
        <v>41</v>
      </c>
      <c r="AH115" s="15">
        <f>COUNTIFS(   B4:B451,"Humanidades y Ciencias Sociales y Jurídicas",G4:G451,"Sí")</f>
        <v>5</v>
      </c>
      <c r="AI115" s="15">
        <f>COUNTIFS(   B4:B451,"Humanidades y Ciencias Sociales y Jurídicas",G4:G451,"No")</f>
        <v>171</v>
      </c>
      <c r="AJ115" s="15">
        <f>SUMIFS( E4:E451, B4:B451,"Humanidades y Ciencias Sociales y Jurídicas",G4:G451,"Sí")</f>
        <v>7</v>
      </c>
      <c r="AK115" s="15">
        <f>SUMIFS( E4:E451, B4:B451,"Humanidades y Ciencias Sociales y Jurídicas",G4:G451,"No")</f>
        <v>769</v>
      </c>
      <c r="AL115" s="15">
        <f>COUNTIFS(   B4:B451,"Humanidades y Ciencias Sociales y Jurídicas",H4:H451,"Sí")</f>
        <v>17</v>
      </c>
      <c r="AM115" s="15">
        <f>COUNTIFS(   B4:B451,"Humanidades y Ciencias Sociales y Jurídicas",I4:I451,"Sí")</f>
        <v>49</v>
      </c>
      <c r="AN115" s="15">
        <f>COUNTIFS(   B4:B451,"Humanidades y Ciencias Sociales y Jurídicas",I4:I451,"No")</f>
        <v>127</v>
      </c>
      <c r="AO115" s="15">
        <f>SUMIFS( E4:E451, B4:B451,"Humanidades y Ciencias Sociales y Jurídicas",I4:I451,"Sí")</f>
        <v>414</v>
      </c>
      <c r="AP115" s="15">
        <f>SUMIFS( E4:E451, B4:B451,"Humanidades y Ciencias Sociales y Jurídicas",I4:I451,"No")</f>
        <v>362</v>
      </c>
      <c r="AQ115" s="15">
        <f>COUNTIFS(   B4:B451,"Humanidades y Ciencias Sociales y Jurídicas",J4:J451,"Sí")</f>
        <v>140</v>
      </c>
      <c r="AR115" s="15">
        <f>COUNTIFS(   B4:B451,"Humanidades y Ciencias Sociales y Jurídicas",K4:K451,"Sí")</f>
        <v>75</v>
      </c>
      <c r="AS115" s="15">
        <f>COUNTIFS(   B4:B451,"Humanidades y Ciencias Sociales y Jurídicas",L4:L451,"Sí")</f>
        <v>160</v>
      </c>
      <c r="AT115" s="15">
        <f>SUMIFS( E4:E451, B4:B451,"Humanidades y Ciencias Sociales y Jurídicas")</f>
        <v>776</v>
      </c>
      <c r="AU115" s="15">
        <f>SUMIFS( E4:E451, F4:F451,"Hombre", B4:B451,"Humanidades y Ciencias Sociales y Jurídicas")</f>
        <v>566</v>
      </c>
      <c r="AV115" s="15">
        <f>SUMIFS( E4:E451, F4:F451,"Mujer", B4:B451,"Humanidades y Ciencias Sociales y Jurídicas")</f>
        <v>210</v>
      </c>
      <c r="AW115" s="30">
        <f>SUMIFS( E4:E451, A4:A451,"2013", B4:B451,"Humanidades y Ciencias Sociales y Jurídicas")</f>
        <v>0</v>
      </c>
      <c r="AX115" s="15">
        <f>SUMIFS( E4:E451, A4:A451,"2014", B4:B451,"Humanidades y Ciencias Sociales y Jurídicas")</f>
        <v>0</v>
      </c>
      <c r="AY115" s="15">
        <f>SUMIFS( E4:E451, A4:A451,"2015", B4:B451,"Humanidades y Ciencias Sociales y Jurídicas")</f>
        <v>152</v>
      </c>
      <c r="AZ115" s="15">
        <f>SUMIFS( E4:E451, A4:A451,"2016", B4:B451,"Humanidades y Ciencias Sociales y Jurídicas")</f>
        <v>327</v>
      </c>
      <c r="BA115" s="15">
        <f>SUMIFS( E4:E451, A4:A451,"2017", B4:B451,"Humanidades y Ciencias Sociales y Jurídicas")</f>
        <v>297</v>
      </c>
      <c r="BB115" s="30">
        <f>SUMIFS( E4:E451, N4:N451,"2014", B4:B451,"Humanidades y Ciencias Sociales y Jurídicas")</f>
        <v>0</v>
      </c>
      <c r="BC115" s="15">
        <f>SUMIFS( E4:E451, N4:N451,"2015", B4:B451,"Humanidades y Ciencias Sociales y Jurídicas")</f>
        <v>2</v>
      </c>
      <c r="BD115" s="15">
        <f>SUMIFS( E4:E451, N4:N451,"2016", B4:B451,"Humanidades y Ciencias Sociales y Jurídicas")</f>
        <v>262</v>
      </c>
      <c r="BE115" s="15">
        <f>SUMIFS( E4:E451, N4:N451,"2017", B4:B451,"Humanidades y Ciencias Sociales y Jurídicas")</f>
        <v>326</v>
      </c>
      <c r="BF115" s="15">
        <f>SUMIFS( E4:E451, N4:N451,"2018", B4:B451,"Humanidades y Ciencias Sociales y Jurídicas")</f>
        <v>186</v>
      </c>
      <c r="BG115" s="21">
        <f>AVERAGEIFS( E4:E451, B4:B451,"Humanidades y Ciencias Sociales y Jurídicas")</f>
        <v>4.4090909090909092</v>
      </c>
      <c r="BH115" s="21">
        <v>0</v>
      </c>
      <c r="BI115" s="21">
        <v>0</v>
      </c>
      <c r="BJ115" s="21">
        <f>AVERAGEIFS( E4:E451, A4:A451,"2015", B4:B451,"Humanidades y Ciencias Sociales y Jurídicas")</f>
        <v>9.5</v>
      </c>
      <c r="BK115" s="21">
        <f>AVERAGEIFS( E4:E451, A4:A451,"2016", B4:B451,"Humanidades y Ciencias Sociales y Jurídicas")</f>
        <v>3.9397590361445785</v>
      </c>
      <c r="BL115" s="21">
        <f>AVERAGEIFS( E4:E451, A4:A451,"2017", B4:B451,"Humanidades y Ciencias Sociales y Jurídicas")</f>
        <v>3.8571428571428572</v>
      </c>
      <c r="BM115" s="21">
        <f>AVERAGE(AT116,AT125,AT131,AT140,AT148,AT150,AT153)</f>
        <v>82.714285714285708</v>
      </c>
      <c r="BN115" s="21">
        <v>0</v>
      </c>
      <c r="BO115" s="21">
        <v>0</v>
      </c>
      <c r="BP115" s="21">
        <f>AVERAGE(AY116,AY125,AY131,AY140,AY148,AY150,AY153)</f>
        <v>15.571428571428571</v>
      </c>
      <c r="BQ115" s="21">
        <f>AVERAGE(AZ116,AZ125,AZ131,AZ140,AZ148,AZ150,AZ153)</f>
        <v>35.285714285714285</v>
      </c>
      <c r="BR115" s="21">
        <f>AVERAGE(BA116,BA125,BA131,BA140,BA148,BA150,BA153)</f>
        <v>31.857142857142858</v>
      </c>
    </row>
    <row r="116" spans="1:70" ht="15" customHeight="1" x14ac:dyDescent="0.25">
      <c r="A116">
        <v>2015</v>
      </c>
      <c r="B116" t="s">
        <v>4</v>
      </c>
      <c r="C116" t="s">
        <v>23</v>
      </c>
      <c r="D116" t="s">
        <v>29</v>
      </c>
      <c r="E116" s="17">
        <v>3</v>
      </c>
      <c r="F116" t="s">
        <v>215</v>
      </c>
      <c r="G116" t="s">
        <v>234</v>
      </c>
      <c r="H116" t="s">
        <v>233</v>
      </c>
      <c r="I116" t="s">
        <v>233</v>
      </c>
      <c r="J116" t="s">
        <v>234</v>
      </c>
      <c r="K116" t="s">
        <v>233</v>
      </c>
      <c r="L116" t="s">
        <v>234</v>
      </c>
      <c r="M116" s="14">
        <v>42321</v>
      </c>
      <c r="N116" s="14" t="str">
        <f t="shared" si="1"/>
        <v>2015</v>
      </c>
      <c r="O116" s="6" t="s">
        <v>69</v>
      </c>
      <c r="P116" s="12"/>
      <c r="Q116" s="12"/>
      <c r="R116" s="12"/>
      <c r="S116" s="12"/>
      <c r="T116" s="13"/>
      <c r="U116" s="4">
        <f>COUNTIFS(   C4:C451,"Ciencias de la Educación")</f>
        <v>41</v>
      </c>
      <c r="V116" s="4">
        <f>COUNTIFS(   C4:C451,"Ciencias de la Educación",F4:F451,"Hombre")</f>
        <v>15</v>
      </c>
      <c r="W116" s="4">
        <f>COUNTIFS(   C4:C451,"Ciencias de la Educación",F4:F451,"Mujer")</f>
        <v>26</v>
      </c>
      <c r="X116" s="28">
        <f>COUNTIFS(   A4:A451,"2013", C4:C451,"Ciencias de la Educación")</f>
        <v>0</v>
      </c>
      <c r="Y116" s="4">
        <f>COUNTIFS(   A4:A451,"2014", C4:C451,"Ciencias de la Educación")</f>
        <v>0</v>
      </c>
      <c r="Z116" s="4">
        <f>COUNTIFS(   A4:A451,"2015", C4:C451,"Ciencias de la Educación")</f>
        <v>4</v>
      </c>
      <c r="AA116" s="4">
        <f>COUNTIFS(   A4:A451,"2016", C4:C451,"Ciencias de la Educación")</f>
        <v>23</v>
      </c>
      <c r="AB116" s="4">
        <f>COUNTIFS(   A4:A451,"2017", C4:C451,"Ciencias de la Educación")</f>
        <v>14</v>
      </c>
      <c r="AC116" s="28">
        <f>COUNTIFS(   N4:N451,"2014", C4:C451,"Ciencias de la Educación")</f>
        <v>0</v>
      </c>
      <c r="AD116" s="4">
        <f>COUNTIFS(   N4:N451,"2015", C4:C451,"Ciencias de la Educación")</f>
        <v>1</v>
      </c>
      <c r="AE116" s="4">
        <f>COUNTIFS(   N4:N451,"2016", C4:C451,"Ciencias de la Educación")</f>
        <v>6</v>
      </c>
      <c r="AF116" s="4">
        <f>COUNTIFS(   N4:N451,"2017", C4:C451,"Ciencias de la Educación")</f>
        <v>26</v>
      </c>
      <c r="AG116" s="4">
        <f>COUNTIFS(   N4:N451,"2018", C4:C451,"Ciencias de la Educación")</f>
        <v>8</v>
      </c>
      <c r="AH116" s="4">
        <f>COUNTIFS(   C4:C451,"Ciencias de la Educación",G4:G451,"Sí")</f>
        <v>1</v>
      </c>
      <c r="AI116" s="4">
        <f>COUNTIFS(   C4:C451,"Ciencias de la Educación",G4:G451,"No")</f>
        <v>40</v>
      </c>
      <c r="AJ116" s="4">
        <f>SUMIFS( E4:E451, C4:C451,"Ciencias de la Educación",G4:G451,"Sí")</f>
        <v>2</v>
      </c>
      <c r="AK116" s="4">
        <f>SUMIFS( E4:E451, C4:C451,"Ciencias de la Educación",G4:G451,"No")</f>
        <v>333</v>
      </c>
      <c r="AL116" s="4">
        <f>COUNTIFS(   C4:C451,"Ciencias de la Educación",H4:H451,"Sí")</f>
        <v>5</v>
      </c>
      <c r="AM116" s="4">
        <f>COUNTIFS(   C4:C451,"Ciencias de la Educación",I4:I451,"Sí")</f>
        <v>14</v>
      </c>
      <c r="AN116" s="4">
        <f>COUNTIFS(   C4:C451,"Ciencias de la Educación",I4:I451,"No")</f>
        <v>27</v>
      </c>
      <c r="AO116" s="4">
        <f>SUMIFS( E4:E451, C4:C451,"Ciencias de la Educación",I4:I451,"Sí")</f>
        <v>279</v>
      </c>
      <c r="AP116" s="4">
        <f>SUMIFS( E4:E451, C4:C451,"Ciencias de la Educación",I4:I451,"No")</f>
        <v>56</v>
      </c>
      <c r="AQ116" s="4">
        <f>COUNTIFS(   C4:C451,"Ciencias de la Educación",J4:J451,"Sí")</f>
        <v>37</v>
      </c>
      <c r="AR116" s="4">
        <f>COUNTIFS(   C4:C451,"Ciencias de la Educación",K4:K451,"Sí")</f>
        <v>18</v>
      </c>
      <c r="AS116" s="4">
        <f>COUNTIFS(   C4:C451,"Ciencias de la Educación",L4:L451,"Sí")</f>
        <v>40</v>
      </c>
      <c r="AT116" s="4">
        <f>SUMIFS( E4:E451, C4:C451,"Ciencias de la Educación")</f>
        <v>335</v>
      </c>
      <c r="AU116" s="4">
        <f>SUMIFS( E4:E451, F4:F451,"Hombre", C4:C451,"Ciencias de la Educación")</f>
        <v>255</v>
      </c>
      <c r="AV116" s="4">
        <f>SUMIFS( E4:E451, F4:F451,"Mujer", C4:C451,"Ciencias de la Educación")</f>
        <v>80</v>
      </c>
      <c r="AW116" s="28">
        <f>SUMIFS( E4:E451, A4:A451,"2013", C4:C451,"Ciencias de la Educación")</f>
        <v>0</v>
      </c>
      <c r="AX116" s="4">
        <f>SUMIFS( E4:E451, A4:A451,"2014", C4:C451,"Ciencias de la Educación")</f>
        <v>0</v>
      </c>
      <c r="AY116" s="4">
        <f>SUMIFS( E4:E451, A4:A451,"2015", C4:C451,"Ciencias de la Educación")</f>
        <v>90</v>
      </c>
      <c r="AZ116" s="4">
        <f>SUMIFS( E4:E451, A4:A451,"2016", C4:C451,"Ciencias de la Educación")</f>
        <v>127</v>
      </c>
      <c r="BA116" s="4">
        <f>SUMIFS( E4:E451, A4:A451,"2017", C4:C451,"Ciencias de la Educación")</f>
        <v>118</v>
      </c>
      <c r="BB116" s="28">
        <f>SUMIFS( E4:E451, N4:N451,"2014", C4:C451,"Ciencias de la Educación")</f>
        <v>0</v>
      </c>
      <c r="BC116" s="4">
        <f>SUMIFS( E4:E451, N4:N451,"2015", C4:C451,"Ciencias de la Educación")</f>
        <v>2</v>
      </c>
      <c r="BD116" s="4">
        <f>SUMIFS( E4:E451, N4:N451,"2016", C4:C451,"Ciencias de la Educación")</f>
        <v>158</v>
      </c>
      <c r="BE116" s="4">
        <f>SUMIFS( E4:E451, N4:N451,"2017", C4:C451,"Ciencias de la Educación")</f>
        <v>71</v>
      </c>
      <c r="BF116" s="4">
        <f>SUMIFS( E4:E451, N4:N451,"2018", C4:C451,"Ciencias de la Educación")</f>
        <v>104</v>
      </c>
      <c r="BG116" s="22">
        <f>AVERAGEIFS( E4:E451, C4:C451,"Ciencias de la Educación")</f>
        <v>8.1707317073170724</v>
      </c>
      <c r="BH116" s="22">
        <v>0</v>
      </c>
      <c r="BI116" s="22">
        <v>0</v>
      </c>
      <c r="BJ116" s="22">
        <f>AVERAGEIFS( E4:E451, A4:A451,"2015", C4:C451,"Ciencias de la Educación")</f>
        <v>22.5</v>
      </c>
      <c r="BK116" s="22">
        <f>AVERAGEIFS( E4:E451, A4:A451,"2016", C4:C451,"Ciencias de la Educación")</f>
        <v>5.5217391304347823</v>
      </c>
      <c r="BL116" s="22">
        <f>AVERAGEIFS( E4:E451, A4:A451,"2017", C4:C451,"Ciencias de la Educación")</f>
        <v>8.4285714285714288</v>
      </c>
      <c r="BM116" s="22">
        <f>AVERAGE(AT117:AT124)</f>
        <v>41.875</v>
      </c>
      <c r="BN116" s="22">
        <v>0</v>
      </c>
      <c r="BO116" s="22">
        <v>0</v>
      </c>
      <c r="BP116" s="22">
        <f>AVERAGE(AY117:AY124)</f>
        <v>11.25</v>
      </c>
      <c r="BQ116" s="22">
        <f>AVERAGE(AZ117:AZ124)</f>
        <v>15.875</v>
      </c>
      <c r="BR116" s="22">
        <f>AVERAGE(BA117:BA124)</f>
        <v>14.75</v>
      </c>
    </row>
    <row r="117" spans="1:70" ht="15" customHeight="1" x14ac:dyDescent="0.25">
      <c r="A117">
        <v>2014</v>
      </c>
      <c r="B117" t="s">
        <v>4</v>
      </c>
      <c r="C117" t="s">
        <v>23</v>
      </c>
      <c r="D117" t="s">
        <v>28</v>
      </c>
      <c r="E117">
        <v>17</v>
      </c>
      <c r="F117" t="s">
        <v>211</v>
      </c>
      <c r="G117" t="s">
        <v>233</v>
      </c>
      <c r="H117" t="s">
        <v>233</v>
      </c>
      <c r="I117" t="s">
        <v>233</v>
      </c>
      <c r="J117" t="s">
        <v>234</v>
      </c>
      <c r="K117" t="s">
        <v>233</v>
      </c>
      <c r="L117" t="s">
        <v>234</v>
      </c>
      <c r="M117" s="14">
        <v>42181</v>
      </c>
      <c r="N117" s="14" t="str">
        <f t="shared" si="1"/>
        <v>2015</v>
      </c>
      <c r="O117" s="55" t="s">
        <v>143</v>
      </c>
      <c r="P117" s="56"/>
      <c r="Q117" s="56"/>
      <c r="R117" s="56"/>
      <c r="S117" s="56"/>
      <c r="T117" s="57"/>
      <c r="U117" s="5">
        <f>COUNTIFS(   D4:D451,"Currículum, Organización y Formación para la Equidad en la Sociedad del Conocimiento")</f>
        <v>6</v>
      </c>
      <c r="V117" s="5">
        <f>COUNTIFS(   D4:D451,"Currículum, Organización y Formación para la Equidad en la Sociedad del Conocimiento",F4:F451,"Hombre")</f>
        <v>0</v>
      </c>
      <c r="W117" s="5">
        <f>COUNTIFS(   D4:D451,"Currículum, Organización y Formación para la Equidad en la Sociedad del Conocimiento",F4:F451,"Mujer")</f>
        <v>6</v>
      </c>
      <c r="X117" s="29">
        <f>COUNTIFS(   A4:A451,"2013", D4:D451,"Currículum, Organización y Formación para la Equidad en la Sociedad del Conocimiento")</f>
        <v>0</v>
      </c>
      <c r="Y117" s="5">
        <f>COUNTIFS(   A4:A451,"2014", D4:D451,"Currículum, Organización y Formación para la Equidad en la Sociedad del Conocimiento")</f>
        <v>0</v>
      </c>
      <c r="Z117" s="5">
        <f>COUNTIFS(   A4:A451,"2015", D4:D451,"Currículum, Organización y Formación para la Equidad en la Sociedad del Conocimiento")</f>
        <v>0</v>
      </c>
      <c r="AA117" s="5">
        <f>COUNTIFS(   A4:A451,"2016", D4:D451,"Currículum, Organización y Formación para la Equidad en la Sociedad del Conocimiento")</f>
        <v>4</v>
      </c>
      <c r="AB117" s="5">
        <f>COUNTIFS(   A4:A451,"2017", D4:D451,"Currículum, Organización y Formación para la Equidad en la Sociedad del Conocimiento")</f>
        <v>2</v>
      </c>
      <c r="AC117" s="29">
        <f>COUNTIFS(   N4:N451,"2014", D4:D451,"Currículum, Organización y Formación para la Equidad en la Sociedad del Conocimiento")</f>
        <v>0</v>
      </c>
      <c r="AD117" s="5">
        <f>COUNTIFS(   N4:N451,"2015", D4:D451,"Currículum, Organización y Formación para la Equidad en la Sociedad del Conocimiento")</f>
        <v>0</v>
      </c>
      <c r="AE117" s="5">
        <f>COUNTIFS(   N4:N451,"2016", D4:D451,"Currículum, Organización y Formación para la Equidad en la Sociedad del Conocimiento")</f>
        <v>0</v>
      </c>
      <c r="AF117" s="5">
        <f>COUNTIFS(   N4:N451,"2017", D4:D451,"Currículum, Organización y Formación para la Equidad en la Sociedad del Conocimiento")</f>
        <v>5</v>
      </c>
      <c r="AG117" s="5">
        <f>COUNTIFS(   N4:N451,"2018", D4:D451,"Currículum, Organización y Formación para la Equidad en la Sociedad del Conocimiento")</f>
        <v>1</v>
      </c>
      <c r="AH117" s="5">
        <f>COUNTIFS(   D4:D451,"Currículum, Organización y Formación para la Equidad en la Sociedad del Conocimiento",G4:G451,"Sí")</f>
        <v>1</v>
      </c>
      <c r="AI117" s="5">
        <f>COUNTIFS(   D4:D451,"Currículum, Organización y Formación para la Equidad en la Sociedad del Conocimiento",G4:G451,"No")</f>
        <v>5</v>
      </c>
      <c r="AJ117" s="5">
        <f>SUMIFS( E4:E451, D4:D451,"Currículum, Organización y Formación para la Equidad en la Sociedad del Conocimiento",G4:G451,"Sí")</f>
        <v>2</v>
      </c>
      <c r="AK117" s="5">
        <f>SUMIFS( E4:E451, D4:D451,"Currículum, Organización y Formación para la Equidad en la Sociedad del Conocimiento",G4:G451,"No")</f>
        <v>13</v>
      </c>
      <c r="AL117" s="5">
        <f>COUNTIFS(   D4:D451,"Currículum, Organización y Formación para la Equidad en la Sociedad del Conocimiento",H4:H451,"Sí")</f>
        <v>0</v>
      </c>
      <c r="AM117" s="5">
        <f>COUNTIFS(   D4:D451,"Currículum, Organización y Formación para la Equidad en la Sociedad del Conocimiento",I4:I451,"Sí")</f>
        <v>1</v>
      </c>
      <c r="AN117" s="5">
        <f>COUNTIFS(   D4:D451,"Currículum, Organización y Formación para la Equidad en la Sociedad del Conocimiento",I4:I451,"No")</f>
        <v>5</v>
      </c>
      <c r="AO117" s="5">
        <f>SUMIFS( E4:E451, D4:D451,"Currículum, Organización y Formación para la Equidad en la Sociedad del Conocimiento",I4:I451,"Sí")</f>
        <v>5</v>
      </c>
      <c r="AP117" s="5">
        <f>SUMIFS( E4:E451, D4:D451,"Currículum, Organización y Formación para la Equidad en la Sociedad del Conocimiento",I4:I451,"No")</f>
        <v>10</v>
      </c>
      <c r="AQ117" s="5">
        <f>COUNTIFS(   D4:D451,"Currículum, Organización y Formación para la Equidad en la Sociedad del Conocimiento",J4:J451,"Sí")</f>
        <v>5</v>
      </c>
      <c r="AR117" s="5">
        <f>COUNTIFS(   D4:D451,"Currículum, Organización y Formación para la Equidad en la Sociedad del Conocimiento",K4:K451,"Sí")</f>
        <v>1</v>
      </c>
      <c r="AS117" s="5">
        <f>COUNTIFS(   D4:D451,"Currículum, Organización y Formación para la Equidad en la Sociedad del Conocimiento",L4:L451,"Sí")</f>
        <v>6</v>
      </c>
      <c r="AT117" s="5">
        <f>SUMIFS( E4:E451, D4:D451,"Currículum, Organización y Formación para la Equidad en la Sociedad del Conocimiento")</f>
        <v>15</v>
      </c>
      <c r="AU117" s="5">
        <f>SUMIFS( E4:E451, F4:F451,"Hombre", D4:D451,"Currículum, Organización y Formación para la Equidad en la Sociedad del Conocimiento")</f>
        <v>0</v>
      </c>
      <c r="AV117" s="5">
        <f>SUMIFS( E4:E451, F4:F451,"Mujer", D4:D451,"Currículum, Organización y Formación para la Equidad en la Sociedad del Conocimiento")</f>
        <v>15</v>
      </c>
      <c r="AW117" s="29">
        <f>SUMIFS( E4:E451, A4:A451,"2013", D4:D451,"Currículum, Organización y Formación para la Equidad en la Sociedad del Conocimiento")</f>
        <v>0</v>
      </c>
      <c r="AX117" s="5">
        <f>SUMIFS( E4:E451, A4:A451,"2014", D4:D451,"Currículum, Organización y Formación para la Equidad en la Sociedad del Conocimiento")</f>
        <v>0</v>
      </c>
      <c r="AY117" s="5">
        <f>SUMIFS( E4:E451, A4:A451,"2015", D4:D451,"Currículum, Organización y Formación para la Equidad en la Sociedad del Conocimiento")</f>
        <v>0</v>
      </c>
      <c r="AZ117" s="5">
        <f>SUMIFS( E4:E451, A4:A451,"2016", D4:D451,"Currículum, Organización y Formación para la Equidad en la Sociedad del Conocimiento")</f>
        <v>8</v>
      </c>
      <c r="BA117" s="5">
        <f>SUMIFS( E4:E451, A4:A451,"2017", D4:D451,"Currículum, Organización y Formación para la Equidad en la Sociedad del Conocimiento")</f>
        <v>7</v>
      </c>
      <c r="BB117" s="29">
        <f>SUMIFS( E4:E451, N4:N451,"2014", D4:D451,"Currículum, Organización y Formación para la Equidad en la Sociedad del Conocimiento")</f>
        <v>0</v>
      </c>
      <c r="BC117" s="5">
        <f>SUMIFS( E4:E451, N4:N451,"2015", D4:D451,"Currículum, Organización y Formación para la Equidad en la Sociedad del Conocimiento")</f>
        <v>0</v>
      </c>
      <c r="BD117" s="5">
        <f>SUMIFS( E4:E451, N4:N451,"2016", D4:D451,"Currículum, Organización y Formación para la Equidad en la Sociedad del Conocimiento")</f>
        <v>0</v>
      </c>
      <c r="BE117" s="5">
        <f>SUMIFS( E4:E451, N4:N451,"2017", D4:D451,"Currículum, Organización y Formación para la Equidad en la Sociedad del Conocimiento")</f>
        <v>13</v>
      </c>
      <c r="BF117" s="5">
        <f>SUMIFS( E4:E451, N4:N451,"2018", D4:D451,"Currículum, Organización y Formación para la Equidad en la Sociedad del Conocimiento")</f>
        <v>2</v>
      </c>
      <c r="BG117" s="23">
        <f>AVERAGEIFS( E4:E451, D4:D451,"Currículum, Organización y Formación para la Equidad en la Sociedad del Conocimiento")</f>
        <v>2.5</v>
      </c>
      <c r="BH117" s="23">
        <v>0</v>
      </c>
      <c r="BI117" s="23">
        <v>0</v>
      </c>
      <c r="BJ117" s="23">
        <v>0</v>
      </c>
      <c r="BK117" s="23">
        <f>AVERAGEIFS( E4:E451, A4:A451,"2016", D4:D451,"Currículum, Organización y Formación para la Equidad en la Sociedad del Conocimiento")</f>
        <v>2</v>
      </c>
      <c r="BL117" s="23">
        <f>AVERAGEIFS( E4:E451, A4:A451,"2017", D4:D451,"Currículum, Organización y Formación para la Equidad en la Sociedad del Conocimiento")</f>
        <v>3.5</v>
      </c>
      <c r="BM117" s="23">
        <v>2.5</v>
      </c>
      <c r="BN117" s="23">
        <v>0</v>
      </c>
      <c r="BO117" s="23">
        <v>0</v>
      </c>
      <c r="BP117" s="23">
        <v>0</v>
      </c>
      <c r="BQ117" s="23">
        <v>2</v>
      </c>
      <c r="BR117" s="23">
        <v>3.5</v>
      </c>
    </row>
    <row r="118" spans="1:70" ht="15" customHeight="1" x14ac:dyDescent="0.25">
      <c r="A118">
        <v>2014</v>
      </c>
      <c r="B118" t="s">
        <v>4</v>
      </c>
      <c r="C118" t="s">
        <v>23</v>
      </c>
      <c r="D118" t="s">
        <v>30</v>
      </c>
      <c r="E118">
        <v>9</v>
      </c>
      <c r="F118" t="s">
        <v>211</v>
      </c>
      <c r="G118" t="s">
        <v>233</v>
      </c>
      <c r="H118" t="s">
        <v>233</v>
      </c>
      <c r="I118" t="s">
        <v>234</v>
      </c>
      <c r="J118" t="s">
        <v>234</v>
      </c>
      <c r="K118" t="s">
        <v>233</v>
      </c>
      <c r="L118" t="s">
        <v>234</v>
      </c>
      <c r="M118" s="14">
        <v>42156</v>
      </c>
      <c r="N118" s="14" t="str">
        <f t="shared" si="1"/>
        <v>2015</v>
      </c>
      <c r="O118" s="55" t="s">
        <v>144</v>
      </c>
      <c r="P118" s="56"/>
      <c r="Q118" s="56"/>
      <c r="R118" s="56"/>
      <c r="S118" s="56"/>
      <c r="T118" s="57"/>
      <c r="U118" s="5">
        <f>COUNTIFS(   D4:D451,"Diagnóstico, Evaluación e Intervención Psicoeducativa")</f>
        <v>6</v>
      </c>
      <c r="V118" s="5">
        <f>COUNTIFS(   D4:D451,"Diagnóstico, Evaluación e Intervención Psicoeducativa",F4:F451,"Hombre")</f>
        <v>2</v>
      </c>
      <c r="W118" s="5">
        <f>COUNTIFS(   D4:D451,"Diagnóstico, Evaluación e Intervención Psicoeducativa",F4:F451,"Mujer")</f>
        <v>4</v>
      </c>
      <c r="X118" s="29">
        <f>COUNTIFS(   A4:A451,"2013", D4:D451,"Diagnóstico, Evaluación e Intervención Psicoeducativa")</f>
        <v>0</v>
      </c>
      <c r="Y118" s="5">
        <f>COUNTIFS(   A4:A451,"2014", D4:D451,"Diagnóstico, Evaluación e Intervención Psicoeducativa")</f>
        <v>0</v>
      </c>
      <c r="Z118" s="5">
        <f>COUNTIFS(   A4:A451,"2015", D4:D451,"Diagnóstico, Evaluación e Intervención Psicoeducativa")</f>
        <v>0</v>
      </c>
      <c r="AA118" s="5">
        <f>COUNTIFS(   A4:A451,"2016", D4:D451,"Diagnóstico, Evaluación e Intervención Psicoeducativa")</f>
        <v>4</v>
      </c>
      <c r="AB118" s="5">
        <f>COUNTIFS(   A4:A451,"2017", D4:D451,"Diagnóstico, Evaluación e Intervención Psicoeducativa")</f>
        <v>2</v>
      </c>
      <c r="AC118" s="29">
        <f>COUNTIFS(   N4:N451,"2014", D4:D451,"Diagnóstico, Evaluación e Intervención Psicoeducativa")</f>
        <v>0</v>
      </c>
      <c r="AD118" s="5">
        <f>COUNTIFS(   N4:N451,"2015", D4:D451,"Diagnóstico, Evaluación e Intervención Psicoeducativa")</f>
        <v>0</v>
      </c>
      <c r="AE118" s="5">
        <f>COUNTIFS(   N4:N451,"2016", D4:D451,"Diagnóstico, Evaluación e Intervención Psicoeducativa")</f>
        <v>0</v>
      </c>
      <c r="AF118" s="5">
        <f>COUNTIFS(   N4:N451,"2017", D4:D451,"Diagnóstico, Evaluación e Intervención Psicoeducativa")</f>
        <v>5</v>
      </c>
      <c r="AG118" s="5">
        <f>COUNTIFS(   N4:N451,"2018", D4:D451,"Diagnóstico, Evaluación e Intervención Psicoeducativa")</f>
        <v>1</v>
      </c>
      <c r="AH118" s="5">
        <f>COUNTIFS(   D4:D451,"Diagnóstico, Evaluación e Intervención Psicoeducativa",G4:G451,"Sí")</f>
        <v>0</v>
      </c>
      <c r="AI118" s="5">
        <f>COUNTIFS(   D4:D451,"Diagnóstico, Evaluación e Intervención Psicoeducativa",G4:G451,"No")</f>
        <v>6</v>
      </c>
      <c r="AJ118" s="5">
        <f>SUMIFS( E4:E451, D4:D451,"Diagnóstico, Evaluación e Intervención Psicoeducativa",G4:G451,"Sí")</f>
        <v>0</v>
      </c>
      <c r="AK118" s="5">
        <f>SUMIFS( E4:E451, D4:D451,"Diagnóstico, Evaluación e Intervención Psicoeducativa",G4:G451,"No")</f>
        <v>9</v>
      </c>
      <c r="AL118" s="5">
        <f>COUNTIFS(   D4:D451,"Diagnóstico, Evaluación e Intervención Psicoeducativa",H4:H451,"Sí")</f>
        <v>1</v>
      </c>
      <c r="AM118" s="5">
        <f>COUNTIFS(   D4:D451,"Diagnóstico, Evaluación e Intervención Psicoeducativa",I4:I451,"Sí")</f>
        <v>1</v>
      </c>
      <c r="AN118" s="5">
        <f>COUNTIFS(   D4:D451,"Diagnóstico, Evaluación e Intervención Psicoeducativa",I4:I451,"No")</f>
        <v>5</v>
      </c>
      <c r="AO118" s="5">
        <f>SUMIFS( E4:E451, D4:D451,"Diagnóstico, Evaluación e Intervención Psicoeducativa",I4:I451,"Sí")</f>
        <v>4</v>
      </c>
      <c r="AP118" s="5">
        <f>SUMIFS( E4:E451, D4:D451,"Diagnóstico, Evaluación e Intervención Psicoeducativa",I4:I451,"No")</f>
        <v>5</v>
      </c>
      <c r="AQ118" s="5">
        <f>COUNTIFS(   D4:D451,"Diagnóstico, Evaluación e Intervención Psicoeducativa",J4:J451,"Sí")</f>
        <v>5</v>
      </c>
      <c r="AR118" s="5">
        <f>COUNTIFS(   D4:D451,"Diagnóstico, Evaluación e Intervención Psicoeducativa",K4:K451,"Sí")</f>
        <v>3</v>
      </c>
      <c r="AS118" s="5">
        <f>COUNTIFS(   D4:D451,"Diagnóstico, Evaluación e Intervención Psicoeducativa",L4:L451,"Sí")</f>
        <v>6</v>
      </c>
      <c r="AT118" s="5">
        <f>SUMIFS( E4:E451, D4:D451,"Diagnóstico, Evaluación e Intervención Psicoeducativa")</f>
        <v>9</v>
      </c>
      <c r="AU118" s="5">
        <f>SUMIFS( E4:E451, F4:F451,"Hombre", D4:D451,"Diagnóstico, Evaluación e Intervención Psicoeducativa")</f>
        <v>3</v>
      </c>
      <c r="AV118" s="5">
        <f>SUMIFS( E4:E451, F4:F451,"Mujer", D4:D451,"Diagnóstico, Evaluación e Intervención Psicoeducativa")</f>
        <v>6</v>
      </c>
      <c r="AW118" s="29">
        <f>SUMIFS( E4:E451, A4:A451,"2013", D4:D451,"Diagnóstico, Evaluación e Intervención Psicoeducativa")</f>
        <v>0</v>
      </c>
      <c r="AX118" s="5">
        <f>SUMIFS( E4:E451, A4:A451,"2014", D4:D451,"Diagnóstico, Evaluación e Intervención Psicoeducativa")</f>
        <v>0</v>
      </c>
      <c r="AY118" s="5">
        <f>SUMIFS( E4:E451, A4:A451,"2015", D4:D451,"Diagnóstico, Evaluación e Intervención Psicoeducativa")</f>
        <v>0</v>
      </c>
      <c r="AZ118" s="5">
        <f>SUMIFS( E4:E451, A4:A451,"2016", D4:D451,"Diagnóstico, Evaluación e Intervención Psicoeducativa")</f>
        <v>8</v>
      </c>
      <c r="BA118" s="5">
        <f>SUMIFS( E4:E451, A4:A451,"2017", D4:D451,"Diagnóstico, Evaluación e Intervención Psicoeducativa")</f>
        <v>1</v>
      </c>
      <c r="BB118" s="29">
        <f>SUMIFS( E4:E451, N4:N451,"2014", D4:D451,"Diagnóstico, Evaluación e Intervención Psicoeducativa")</f>
        <v>0</v>
      </c>
      <c r="BC118" s="5">
        <f>SUMIFS( E4:E451, N4:N451,"2015", D4:D451,"Diagnóstico, Evaluación e Intervención Psicoeducativa")</f>
        <v>0</v>
      </c>
      <c r="BD118" s="5">
        <f>SUMIFS( E4:E451, N4:N451,"2016", D4:D451,"Diagnóstico, Evaluación e Intervención Psicoeducativa")</f>
        <v>0</v>
      </c>
      <c r="BE118" s="5">
        <f>SUMIFS( E4:E451, N4:N451,"2017", D4:D451,"Diagnóstico, Evaluación e Intervención Psicoeducativa")</f>
        <v>9</v>
      </c>
      <c r="BF118" s="5">
        <f>SUMIFS( E4:E451, N4:N451,"2018", D4:D451,"Diagnóstico, Evaluación e Intervención Psicoeducativa")</f>
        <v>0</v>
      </c>
      <c r="BG118" s="23">
        <f>AVERAGEIFS( E4:E451, D4:D451,"Diagnóstico, Evaluación e Intervención Psicoeducativa")</f>
        <v>1.5</v>
      </c>
      <c r="BH118" s="23">
        <v>0</v>
      </c>
      <c r="BI118" s="23">
        <v>0</v>
      </c>
      <c r="BJ118" s="23">
        <v>0</v>
      </c>
      <c r="BK118" s="23">
        <f>AVERAGEIFS( E4:E451, A4:A451,"2016", D4:D451,"Diagnóstico, Evaluación e Intervención Psicoeducativa")</f>
        <v>2</v>
      </c>
      <c r="BL118" s="23">
        <f>AVERAGEIFS( E4:E451, A4:A451,"2017", D4:D451,"Diagnóstico, Evaluación e Intervención Psicoeducativa")</f>
        <v>0.5</v>
      </c>
      <c r="BM118" s="23">
        <v>1.5</v>
      </c>
      <c r="BN118" s="23">
        <v>0</v>
      </c>
      <c r="BO118" s="23">
        <v>0</v>
      </c>
      <c r="BP118" s="23">
        <v>0</v>
      </c>
      <c r="BQ118" s="23">
        <v>2</v>
      </c>
      <c r="BR118" s="23">
        <v>0.5</v>
      </c>
    </row>
    <row r="119" spans="1:70" ht="15" customHeight="1" x14ac:dyDescent="0.25">
      <c r="A119">
        <v>2014</v>
      </c>
      <c r="B119" t="s">
        <v>4</v>
      </c>
      <c r="C119" t="s">
        <v>23</v>
      </c>
      <c r="D119" t="s">
        <v>28</v>
      </c>
      <c r="E119">
        <v>8</v>
      </c>
      <c r="F119" s="16" t="s">
        <v>215</v>
      </c>
      <c r="G119" t="s">
        <v>233</v>
      </c>
      <c r="H119" t="s">
        <v>233</v>
      </c>
      <c r="I119" t="s">
        <v>233</v>
      </c>
      <c r="J119" t="s">
        <v>234</v>
      </c>
      <c r="K119" t="s">
        <v>233</v>
      </c>
      <c r="L119" t="s">
        <v>234</v>
      </c>
      <c r="M119" s="14">
        <v>42123</v>
      </c>
      <c r="N119" s="14" t="str">
        <f t="shared" si="1"/>
        <v>2015</v>
      </c>
      <c r="O119" s="55" t="s">
        <v>147</v>
      </c>
      <c r="P119" s="56"/>
      <c r="Q119" s="56"/>
      <c r="R119" s="56"/>
      <c r="S119" s="56"/>
      <c r="T119" s="57"/>
      <c r="U119" s="5">
        <f>COUNTIFS(   D4:D451,"Didáctica de las Lenguas y sus Literaturas")</f>
        <v>3</v>
      </c>
      <c r="V119" s="5">
        <f>COUNTIFS(   D4:D451,"Didáctica de las Lenguas y sus Literaturas",F4:F451,"Hombre")</f>
        <v>0</v>
      </c>
      <c r="W119" s="5">
        <f>COUNTIFS(   D4:D451,"Didáctica de las Lenguas y sus Literaturas",F4:F451,"Mujer")</f>
        <v>3</v>
      </c>
      <c r="X119" s="29">
        <f>COUNTIFS(   A4:A451,"2013", D4:D451,"Didáctica de las Lenguas y sus Literaturas")</f>
        <v>0</v>
      </c>
      <c r="Y119" s="5">
        <f>COUNTIFS(   A4:A451,"2014", D4:D451,"Didáctica de las Lenguas y sus Literaturas")</f>
        <v>0</v>
      </c>
      <c r="Z119" s="5">
        <f>COUNTIFS(   A4:A451,"2015", D4:D451,"Didáctica de las Lenguas y sus Literaturas")</f>
        <v>0</v>
      </c>
      <c r="AA119" s="5">
        <f>COUNTIFS(   A4:A451,"2016", D4:D451,"Didáctica de las Lenguas y sus Literaturas")</f>
        <v>3</v>
      </c>
      <c r="AB119" s="5">
        <f>COUNTIFS(   A4:A451,"2017", D4:D451,"Didáctica de las Lenguas y sus Literaturas")</f>
        <v>0</v>
      </c>
      <c r="AC119" s="29">
        <f>COUNTIFS(   N4:N451,"2014", D4:D451,"Didáctica de las Lenguas y sus Literaturas")</f>
        <v>0</v>
      </c>
      <c r="AD119" s="5">
        <f>COUNTIFS(   N4:N451,"2015", D4:D451,"Didáctica de las Lenguas y sus Literaturas")</f>
        <v>0</v>
      </c>
      <c r="AE119" s="5">
        <f>COUNTIFS(   N4:N451,"2016", D4:D451,"Didáctica de las Lenguas y sus Literaturas")</f>
        <v>1</v>
      </c>
      <c r="AF119" s="5">
        <f>COUNTIFS(   N4:N451,"2017", D4:D451,"Didáctica de las Lenguas y sus Literaturas")</f>
        <v>2</v>
      </c>
      <c r="AG119" s="5">
        <f>COUNTIFS(   N4:N451,"2018", D4:D451,"Didáctica de las Lenguas y sus Literaturas")</f>
        <v>0</v>
      </c>
      <c r="AH119" s="5">
        <f>COUNTIFS(   D4:D451,"Didáctica de las Lenguas y sus Literaturas",G4:G451,"Sí")</f>
        <v>0</v>
      </c>
      <c r="AI119" s="5">
        <f>COUNTIFS(   D4:D451,"Didáctica de las Lenguas y sus Literaturas",G4:G451,"No")</f>
        <v>3</v>
      </c>
      <c r="AJ119" s="5">
        <f>SUMIFS( E4:E451, D4:D451,"Didáctica de las Lenguas y sus Literaturas",G4:G451,"Sí")</f>
        <v>0</v>
      </c>
      <c r="AK119" s="5">
        <f>SUMIFS( E4:E451, D4:D451,"Didáctica de las Lenguas y sus Literaturas",G4:G451,"No")</f>
        <v>4</v>
      </c>
      <c r="AL119" s="5">
        <f>COUNTIFS(   D4:D451,"Didáctica de las Lenguas y sus Literaturas",H4:H451,"Sí")</f>
        <v>1</v>
      </c>
      <c r="AM119" s="5">
        <f>COUNTIFS(   D4:D451,"Didáctica de las Lenguas y sus Literaturas",I4:I451,"Sí")</f>
        <v>2</v>
      </c>
      <c r="AN119" s="5">
        <f>COUNTIFS(   D4:D451,"Didáctica de las Lenguas y sus Literaturas",I4:I451,"No")</f>
        <v>1</v>
      </c>
      <c r="AO119" s="5">
        <f>SUMIFS( E4:E451, D4:D451,"Didáctica de las Lenguas y sus Literaturas",I4:I451,"Sí")</f>
        <v>2</v>
      </c>
      <c r="AP119" s="5">
        <f>SUMIFS( E4:E451, D4:D451,"Didáctica de las Lenguas y sus Literaturas",I4:I451,"No")</f>
        <v>2</v>
      </c>
      <c r="AQ119" s="5">
        <f>COUNTIFS(   D4:D451,"Didáctica de las Lenguas y sus Literaturas",J4:J451,"Sí")</f>
        <v>3</v>
      </c>
      <c r="AR119" s="5">
        <f>COUNTIFS(   D4:D451,"Didáctica de las Lenguas y sus Literaturas",K4:K451,"Sí")</f>
        <v>0</v>
      </c>
      <c r="AS119" s="5">
        <f>COUNTIFS(   D4:D451,"Didáctica de las Lenguas y sus Literaturas",L4:L451,"Sí")</f>
        <v>3</v>
      </c>
      <c r="AT119" s="5">
        <f>SUMIFS( E4:E451, D4:D451,"Didáctica de las Lenguas y sus Literaturas")</f>
        <v>4</v>
      </c>
      <c r="AU119" s="5">
        <f>SUMIFS( E4:E451, F4:F451,"Hombre", D4:D451,"Didáctica de las Lenguas y sus Literaturas")</f>
        <v>0</v>
      </c>
      <c r="AV119" s="5">
        <f>SUMIFS( E4:E451, F4:F451,"Mujer", D4:D451,"Didáctica de las Lenguas y sus Literaturas")</f>
        <v>4</v>
      </c>
      <c r="AW119" s="29">
        <f>SUMIFS( E4:E451, A4:A451,"2013", D4:D451,"Didáctica de las Lenguas y sus Literaturas")</f>
        <v>0</v>
      </c>
      <c r="AX119" s="5">
        <f>SUMIFS( E4:E451, A4:A451,"2014", D4:D451,"Didáctica de las Lenguas y sus Literaturas")</f>
        <v>0</v>
      </c>
      <c r="AY119" s="5">
        <f>SUMIFS( E4:E451, A4:A451,"2015", D4:D451,"Didáctica de las Lenguas y sus Literaturas")</f>
        <v>0</v>
      </c>
      <c r="AZ119" s="5">
        <f>SUMIFS( E4:E451, A4:A451,"2016", D4:D451,"Didáctica de las Lenguas y sus Literaturas")</f>
        <v>4</v>
      </c>
      <c r="BA119" s="5">
        <f>SUMIFS( E4:E451, A4:A451,"2017", D4:D451,"Didáctica de las Lenguas y sus Literaturas")</f>
        <v>0</v>
      </c>
      <c r="BB119" s="29">
        <f>SUMIFS( E4:E451, N4:N451,"2014", D4:D451,"Didáctica de las Lenguas y sus Literaturas")</f>
        <v>0</v>
      </c>
      <c r="BC119" s="5">
        <f>SUMIFS( E4:E451, N4:N451,"2015", D4:D451,"Didáctica de las Lenguas y sus Literaturas")</f>
        <v>0</v>
      </c>
      <c r="BD119" s="5">
        <f>SUMIFS( E4:E451, N4:N451,"2016", D4:D451,"Didáctica de las Lenguas y sus Literaturas")</f>
        <v>1</v>
      </c>
      <c r="BE119" s="5">
        <f>SUMIFS( E4:E451, N4:N451,"2017", D4:D451,"Didáctica de las Lenguas y sus Literaturas")</f>
        <v>3</v>
      </c>
      <c r="BF119" s="5">
        <f>SUMIFS( E4:E451, N4:N451,"2018", D4:D451,"Didáctica de las Lenguas y sus Literaturas")</f>
        <v>0</v>
      </c>
      <c r="BG119" s="23">
        <f>AVERAGEIFS( E4:E451, D4:D451,"Didáctica de las Lenguas y sus Literaturas")</f>
        <v>1.3333333333333333</v>
      </c>
      <c r="BH119" s="23">
        <v>0</v>
      </c>
      <c r="BI119" s="23">
        <v>0</v>
      </c>
      <c r="BJ119" s="23">
        <v>0</v>
      </c>
      <c r="BK119" s="23">
        <f>AVERAGEIFS( E4:E451, A4:A451,"2016", D4:D451,"Didáctica de las Lenguas y sus Literaturas")</f>
        <v>1.3333333333333333</v>
      </c>
      <c r="BL119" s="23">
        <v>0</v>
      </c>
      <c r="BM119" s="23">
        <v>1.3333333333333333</v>
      </c>
      <c r="BN119" s="23">
        <v>0</v>
      </c>
      <c r="BO119" s="23">
        <v>0</v>
      </c>
      <c r="BP119" s="23">
        <v>0</v>
      </c>
      <c r="BQ119" s="23">
        <v>1.3333333333333333</v>
      </c>
      <c r="BR119" s="23">
        <v>0</v>
      </c>
    </row>
    <row r="120" spans="1:70" ht="15" customHeight="1" x14ac:dyDescent="0.25">
      <c r="A120">
        <v>2017</v>
      </c>
      <c r="B120" t="s">
        <v>4</v>
      </c>
      <c r="C120" t="s">
        <v>31</v>
      </c>
      <c r="D120" t="s">
        <v>32</v>
      </c>
      <c r="E120">
        <v>3</v>
      </c>
      <c r="F120" s="16" t="s">
        <v>211</v>
      </c>
      <c r="G120" t="s">
        <v>233</v>
      </c>
      <c r="H120" t="s">
        <v>233</v>
      </c>
      <c r="I120" t="s">
        <v>233</v>
      </c>
      <c r="J120" t="s">
        <v>233</v>
      </c>
      <c r="K120" t="s">
        <v>233</v>
      </c>
      <c r="L120" t="s">
        <v>233</v>
      </c>
      <c r="M120" s="14">
        <v>43245</v>
      </c>
      <c r="N120" s="14" t="str">
        <f t="shared" si="1"/>
        <v>2018</v>
      </c>
      <c r="O120" s="55" t="s">
        <v>142</v>
      </c>
      <c r="P120" s="56"/>
      <c r="Q120" s="56"/>
      <c r="R120" s="56"/>
      <c r="S120" s="56"/>
      <c r="T120" s="57"/>
      <c r="U120" s="5">
        <f>COUNTIFS(   D4:D451,"Educación Matemática")</f>
        <v>2</v>
      </c>
      <c r="V120" s="5">
        <f>COUNTIFS(   D4:D451,"Educación Matemática",F4:F451,"Hombre")</f>
        <v>0</v>
      </c>
      <c r="W120" s="5">
        <f>COUNTIFS(   D4:D451,"Educación Matemática",F4:F451,"Mujer")</f>
        <v>2</v>
      </c>
      <c r="X120" s="29">
        <f>COUNTIFS(   A4:A451,"2013", D4:D451,"Educación Matemática")</f>
        <v>0</v>
      </c>
      <c r="Y120" s="5">
        <f>COUNTIFS(   A4:A451,"2014", D4:D451,"Educación Matemática")</f>
        <v>0</v>
      </c>
      <c r="Z120" s="5">
        <f>COUNTIFS(   A4:A451,"2015", D4:D451,"Educación Matemática")</f>
        <v>0</v>
      </c>
      <c r="AA120" s="5">
        <f>COUNTIFS(   A4:A451,"2016", D4:D451,"Educación Matemática")</f>
        <v>0</v>
      </c>
      <c r="AB120" s="5">
        <f>COUNTIFS(   A4:A451,"2017", D4:D451,"Educación Matemática")</f>
        <v>2</v>
      </c>
      <c r="AC120" s="29">
        <f>COUNTIFS(   N4:N451,"2014", D4:D451,"Educación Matemática")</f>
        <v>0</v>
      </c>
      <c r="AD120" s="5">
        <f>COUNTIFS(   N4:N451,"2015", D4:D451,"Educación Matemática")</f>
        <v>0</v>
      </c>
      <c r="AE120" s="5">
        <f>COUNTIFS(   N4:N451,"2016", D4:D451,"Educación Matemática")</f>
        <v>0</v>
      </c>
      <c r="AF120" s="5">
        <f>COUNTIFS(   N4:N451,"2017", D4:D451,"Educación Matemática")</f>
        <v>1</v>
      </c>
      <c r="AG120" s="5">
        <f>COUNTIFS(   N4:N451,"2018", D4:D451,"Educación Matemática")</f>
        <v>1</v>
      </c>
      <c r="AH120" s="5">
        <f>COUNTIFS(   D4:D451,"Educación Matemática",G4:G451,"Sí")</f>
        <v>0</v>
      </c>
      <c r="AI120" s="5">
        <f>COUNTIFS(   D4:D451,"Educación Matemática",G4:G451,"No")</f>
        <v>2</v>
      </c>
      <c r="AJ120" s="5">
        <f>SUMIFS( E4:E451, D4:D451,"Educación Matemática",G4:G451,"Sí")</f>
        <v>0</v>
      </c>
      <c r="AK120" s="5">
        <f>SUMIFS( E4:E451, D4:D451,"Educación Matemática",G4:G451,"No")</f>
        <v>6</v>
      </c>
      <c r="AL120" s="5">
        <f>COUNTIFS(   D4:D451,"Educación Matemática",H4:H451,"Sí")</f>
        <v>0</v>
      </c>
      <c r="AM120" s="5">
        <f>COUNTIFS(   D4:D451,"Educación Matemática",I4:I451,"Sí")</f>
        <v>0</v>
      </c>
      <c r="AN120" s="5">
        <f>COUNTIFS(   D4:D451,"Educación Matemática",I4:I451,"No")</f>
        <v>2</v>
      </c>
      <c r="AO120" s="5">
        <f>SUMIFS( E4:E451, D4:D451,"Educación Matemática",I4:I451,"Sí")</f>
        <v>0</v>
      </c>
      <c r="AP120" s="5">
        <f>SUMIFS( E4:E451, D4:D451,"Educación Matemática",I4:I451,"No")</f>
        <v>6</v>
      </c>
      <c r="AQ120" s="5">
        <f>COUNTIFS(   D4:D451,"Educación Matemática",J4:J451,"Sí")</f>
        <v>2</v>
      </c>
      <c r="AR120" s="5">
        <f>COUNTIFS(   D4:D451,"Educación Matemática",K4:K451,"Sí")</f>
        <v>2</v>
      </c>
      <c r="AS120" s="5">
        <f>COUNTIFS(   D4:D451,"Educación Matemática",L4:L451,"Sí")</f>
        <v>2</v>
      </c>
      <c r="AT120" s="5">
        <f>SUMIFS( E4:E451, D4:D451,"Educación Matemática")</f>
        <v>6</v>
      </c>
      <c r="AU120" s="5">
        <f>SUMIFS( E4:E451, F4:F451,"Hombre", D4:D451,"Educación Matemática")</f>
        <v>0</v>
      </c>
      <c r="AV120" s="5">
        <f>SUMIFS( E4:E451, F4:F451,"Mujer", D4:D451,"Educación Matemática")</f>
        <v>6</v>
      </c>
      <c r="AW120" s="29">
        <f>SUMIFS( E4:E451, A4:A451,"2013", D4:D451,"Educación Matemática")</f>
        <v>0</v>
      </c>
      <c r="AX120" s="5">
        <f>SUMIFS( E4:E451, A4:A451,"2014", D4:D451,"Educación Matemática")</f>
        <v>0</v>
      </c>
      <c r="AY120" s="5">
        <f>SUMIFS( E4:E451, A4:A451,"2015", D4:D451,"Educación Matemática")</f>
        <v>0</v>
      </c>
      <c r="AZ120" s="5">
        <f>SUMIFS( E4:E451, A4:A451,"2016", D4:D451,"Educación Matemática")</f>
        <v>0</v>
      </c>
      <c r="BA120" s="5">
        <f>SUMIFS( E4:E451, A4:A451,"2017", D4:D451,"Educación Matemática")</f>
        <v>6</v>
      </c>
      <c r="BB120" s="29">
        <f>SUMIFS( E4:E451, N4:N451,"2014", D4:D451,"Educación Matemática")</f>
        <v>0</v>
      </c>
      <c r="BC120" s="5">
        <f>SUMIFS( E4:E451, N4:N451,"2015", D4:D451,"Educación Matemática")</f>
        <v>0</v>
      </c>
      <c r="BD120" s="5">
        <f>SUMIFS( E4:E451, N4:N451,"2016", D4:D451,"Educación Matemática")</f>
        <v>0</v>
      </c>
      <c r="BE120" s="5">
        <f>SUMIFS( E4:E451, N4:N451,"2017", D4:D451,"Educación Matemática")</f>
        <v>3</v>
      </c>
      <c r="BF120" s="5">
        <f>SUMIFS( E4:E451, N4:N451,"2018", D4:D451,"Educación Matemática")</f>
        <v>3</v>
      </c>
      <c r="BG120" s="23">
        <f>AVERAGEIFS( E4:E451, D4:D451,"Educación Matemática")</f>
        <v>3</v>
      </c>
      <c r="BH120" s="23">
        <v>0</v>
      </c>
      <c r="BI120" s="23">
        <v>0</v>
      </c>
      <c r="BJ120" s="23">
        <v>0</v>
      </c>
      <c r="BK120" s="23">
        <v>0</v>
      </c>
      <c r="BL120" s="23">
        <f>AVERAGEIFS( E4:E451, A4:A451,"2017", D4:D451,"Educación Matemática")</f>
        <v>3</v>
      </c>
      <c r="BM120" s="23">
        <v>3</v>
      </c>
      <c r="BN120" s="23">
        <v>0</v>
      </c>
      <c r="BO120" s="23">
        <v>0</v>
      </c>
      <c r="BP120" s="23">
        <v>0</v>
      </c>
      <c r="BQ120" s="23">
        <v>0</v>
      </c>
      <c r="BR120" s="23">
        <v>3</v>
      </c>
    </row>
    <row r="121" spans="1:70" ht="15" customHeight="1" x14ac:dyDescent="0.25">
      <c r="A121">
        <v>2017</v>
      </c>
      <c r="B121" t="s">
        <v>4</v>
      </c>
      <c r="C121" t="s">
        <v>31</v>
      </c>
      <c r="D121" t="s">
        <v>32</v>
      </c>
      <c r="E121" s="17">
        <v>22</v>
      </c>
      <c r="F121" s="16" t="s">
        <v>211</v>
      </c>
      <c r="G121" t="s">
        <v>233</v>
      </c>
      <c r="H121" t="s">
        <v>233</v>
      </c>
      <c r="I121" t="s">
        <v>234</v>
      </c>
      <c r="J121" t="s">
        <v>233</v>
      </c>
      <c r="K121" t="s">
        <v>234</v>
      </c>
      <c r="L121" t="s">
        <v>234</v>
      </c>
      <c r="M121" s="14">
        <v>43231</v>
      </c>
      <c r="N121" s="14" t="str">
        <f t="shared" si="1"/>
        <v>2018</v>
      </c>
      <c r="O121" s="55" t="s">
        <v>140</v>
      </c>
      <c r="P121" s="56"/>
      <c r="Q121" s="56"/>
      <c r="R121" s="56"/>
      <c r="S121" s="56"/>
      <c r="T121" s="57"/>
      <c r="U121" s="5">
        <f>COUNTIFS(   D4:D451,"Investigación en Educación Física y Deportiva")</f>
        <v>15</v>
      </c>
      <c r="V121" s="5">
        <f>COUNTIFS(   D4:D451,"Investigación en Educación Física y Deportiva",F4:F451,"Hombre")</f>
        <v>10</v>
      </c>
      <c r="W121" s="5">
        <f>COUNTIFS(   D4:D451,"Investigación en Educación Física y Deportiva",F4:F451,"Mujer")</f>
        <v>5</v>
      </c>
      <c r="X121" s="29">
        <f>COUNTIFS(   A4:A451,"2013", D4:D451,"Investigación en Educación Física y Deportiva")</f>
        <v>0</v>
      </c>
      <c r="Y121" s="5">
        <f>COUNTIFS(   A4:A451,"2014", D4:D451,"Investigación en Educación Física y Deportiva")</f>
        <v>0</v>
      </c>
      <c r="Z121" s="5">
        <f>COUNTIFS(   A4:A451,"2015", D4:D451,"Investigación en Educación Física y Deportiva")</f>
        <v>3</v>
      </c>
      <c r="AA121" s="5">
        <f>COUNTIFS(   A4:A451,"2016", D4:D451,"Investigación en Educación Física y Deportiva")</f>
        <v>8</v>
      </c>
      <c r="AB121" s="5">
        <f>COUNTIFS(   A4:A451,"2017", D4:D451,"Investigación en Educación Física y Deportiva")</f>
        <v>4</v>
      </c>
      <c r="AC121" s="29">
        <f>COUNTIFS(   N4:N451,"2014", D4:D451,"Investigación en Educación Física y Deportiva")</f>
        <v>0</v>
      </c>
      <c r="AD121" s="5">
        <f>COUNTIFS(   N4:N451,"2015", D4:D451,"Investigación en Educación Física y Deportiva")</f>
        <v>1</v>
      </c>
      <c r="AE121" s="5">
        <f>COUNTIFS(   N4:N451,"2016", D4:D451,"Investigación en Educación Física y Deportiva")</f>
        <v>4</v>
      </c>
      <c r="AF121" s="5">
        <f>COUNTIFS(   N4:N451,"2017", D4:D451,"Investigación en Educación Física y Deportiva")</f>
        <v>8</v>
      </c>
      <c r="AG121" s="5">
        <f>COUNTIFS(   N4:N451,"2018", D4:D451,"Investigación en Educación Física y Deportiva")</f>
        <v>2</v>
      </c>
      <c r="AH121" s="5">
        <f>COUNTIFS(   D4:D451,"Investigación en Educación Física y Deportiva",G4:G451,"Sí")</f>
        <v>0</v>
      </c>
      <c r="AI121" s="5">
        <f>COUNTIFS(   D4:D451,"Investigación en Educación Física y Deportiva",G4:G451,"No")</f>
        <v>15</v>
      </c>
      <c r="AJ121" s="5">
        <f>SUMIFS( E4:E451, D4:D451,"Investigación en Educación Física y Deportiva",G4:G451,"Sí")</f>
        <v>0</v>
      </c>
      <c r="AK121" s="5">
        <f>SUMIFS( E4:E451, D4:D451,"Investigación en Educación Física y Deportiva",G4:G451,"No")</f>
        <v>259</v>
      </c>
      <c r="AL121" s="5">
        <f>COUNTIFS(   D4:D451,"Investigación en Educación Física y Deportiva",H4:H451,"Sí")</f>
        <v>2</v>
      </c>
      <c r="AM121" s="5">
        <f>COUNTIFS(   D4:D451,"Investigación en Educación Física y Deportiva",I4:I451,"Sí")</f>
        <v>6</v>
      </c>
      <c r="AN121" s="5">
        <f>COUNTIFS(   D4:D451,"Investigación en Educación Física y Deportiva",I4:I451,"No")</f>
        <v>9</v>
      </c>
      <c r="AO121" s="5">
        <f>SUMIFS( E4:E451, D4:D451,"Investigación en Educación Física y Deportiva",I4:I451,"Sí")</f>
        <v>232</v>
      </c>
      <c r="AP121" s="5">
        <f>SUMIFS( E4:E451, D4:D451,"Investigación en Educación Física y Deportiva",I4:I451,"No")</f>
        <v>27</v>
      </c>
      <c r="AQ121" s="5">
        <f>COUNTIFS(   D4:D451,"Investigación en Educación Física y Deportiva",J4:J451,"Sí")</f>
        <v>13</v>
      </c>
      <c r="AR121" s="5">
        <f>COUNTIFS(   D4:D451,"Investigación en Educación Física y Deportiva",K4:K451,"Sí")</f>
        <v>8</v>
      </c>
      <c r="AS121" s="5">
        <f>COUNTIFS(   D4:D451,"Investigación en Educación Física y Deportiva",L4:L451,"Sí")</f>
        <v>14</v>
      </c>
      <c r="AT121" s="5">
        <f>SUMIFS( E4:E451, D4:D451,"Investigación en Educación Física y Deportiva")</f>
        <v>259</v>
      </c>
      <c r="AU121" s="5">
        <f>SUMIFS( E4:E451, F4:F451,"Hombre", D4:D451,"Investigación en Educación Física y Deportiva")</f>
        <v>249</v>
      </c>
      <c r="AV121" s="5">
        <f>SUMIFS( E4:E451, F4:F451,"Mujer", D4:D451,"Investigación en Educación Física y Deportiva")</f>
        <v>10</v>
      </c>
      <c r="AW121" s="29">
        <f>SUMIFS( E4:E451, A4:A451,"2013", D4:D451,"Investigación en Educación Física y Deportiva")</f>
        <v>0</v>
      </c>
      <c r="AX121" s="5">
        <f>SUMIFS( E4:E451, A4:A451,"2014", D4:D451,"Investigación en Educación Física y Deportiva")</f>
        <v>0</v>
      </c>
      <c r="AY121" s="5">
        <f>SUMIFS( E4:E451, A4:A451,"2015", D4:D451,"Investigación en Educación Física y Deportiva")</f>
        <v>90</v>
      </c>
      <c r="AZ121" s="5">
        <f>SUMIFS( E4:E451, A4:A451,"2016", D4:D451,"Investigación en Educación Física y Deportiva")</f>
        <v>95</v>
      </c>
      <c r="BA121" s="5">
        <f>SUMIFS( E4:E451, A4:A451,"2017", D4:D451,"Investigación en Educación Física y Deportiva")</f>
        <v>74</v>
      </c>
      <c r="BB121" s="29">
        <f>SUMIFS( E4:E451, N4:N451,"2014", D4:D451,"Investigación en Educación Física y Deportiva")</f>
        <v>0</v>
      </c>
      <c r="BC121" s="5">
        <f>SUMIFS( E4:E451, N4:N451,"2015", D4:D451,"Investigación en Educación Física y Deportiva")</f>
        <v>2</v>
      </c>
      <c r="BD121" s="5">
        <f>SUMIFS( E4:E451, N4:N451,"2016", D4:D451,"Investigación en Educación Física y Deportiva")</f>
        <v>157</v>
      </c>
      <c r="BE121" s="5">
        <f>SUMIFS( E4:E451, N4:N451,"2017", D4:D451,"Investigación en Educación Física y Deportiva")</f>
        <v>30</v>
      </c>
      <c r="BF121" s="5">
        <f>SUMIFS( E4:E451, N4:N451,"2018", D4:D451,"Investigación en Educación Física y Deportiva")</f>
        <v>70</v>
      </c>
      <c r="BG121" s="23">
        <f>AVERAGEIFS( E4:E451, D4:D451,"Investigación en Educación Física y Deportiva")</f>
        <v>17.266666666666666</v>
      </c>
      <c r="BH121" s="23">
        <v>0</v>
      </c>
      <c r="BI121" s="23">
        <v>0</v>
      </c>
      <c r="BJ121" s="23">
        <f>AVERAGEIFS( E4:E451, A4:A451,"2015", D4:D451,"Investigación en Educación Física y Deportiva")</f>
        <v>30</v>
      </c>
      <c r="BK121" s="23">
        <f>AVERAGEIFS( E4:E451, A4:A451,"2016", D4:D451,"Investigación en Educación Física y Deportiva")</f>
        <v>11.875</v>
      </c>
      <c r="BL121" s="23">
        <f>AVERAGEIFS( E4:E451, A4:A451,"2017", D4:D451,"Investigación en Educación Física y Deportiva")</f>
        <v>18.5</v>
      </c>
      <c r="BM121" s="23">
        <v>17.266666666666666</v>
      </c>
      <c r="BN121" s="23">
        <v>0</v>
      </c>
      <c r="BO121" s="23">
        <v>0</v>
      </c>
      <c r="BP121" s="23">
        <v>30</v>
      </c>
      <c r="BQ121" s="23">
        <v>11.875</v>
      </c>
      <c r="BR121" s="23">
        <v>18.5</v>
      </c>
    </row>
    <row r="122" spans="1:70" ht="15" customHeight="1" x14ac:dyDescent="0.25">
      <c r="A122">
        <v>2017</v>
      </c>
      <c r="B122" t="s">
        <v>4</v>
      </c>
      <c r="C122" t="s">
        <v>31</v>
      </c>
      <c r="D122" t="s">
        <v>32</v>
      </c>
      <c r="E122">
        <v>3</v>
      </c>
      <c r="F122" s="16" t="s">
        <v>211</v>
      </c>
      <c r="G122" t="s">
        <v>233</v>
      </c>
      <c r="H122" t="s">
        <v>233</v>
      </c>
      <c r="I122" t="s">
        <v>233</v>
      </c>
      <c r="J122" t="s">
        <v>234</v>
      </c>
      <c r="K122" t="s">
        <v>234</v>
      </c>
      <c r="L122" t="s">
        <v>233</v>
      </c>
      <c r="M122" s="14">
        <v>43181</v>
      </c>
      <c r="N122" s="14" t="str">
        <f t="shared" si="1"/>
        <v>2018</v>
      </c>
      <c r="O122" s="55" t="s">
        <v>145</v>
      </c>
      <c r="P122" s="56"/>
      <c r="Q122" s="56"/>
      <c r="R122" s="56"/>
      <c r="S122" s="56"/>
      <c r="T122" s="57"/>
      <c r="U122" s="5">
        <f>COUNTIFS(   D4:D451,"Investigación en Educación Musical y en Artes Plásticas")</f>
        <v>1</v>
      </c>
      <c r="V122" s="5">
        <f>COUNTIFS(   D4:D451,"Investigación en Educación Musical y en Artes Plásticas",F4:F451,"Hombre")</f>
        <v>1</v>
      </c>
      <c r="W122" s="5">
        <f>COUNTIFS(   D4:D451,"Investigación en Educación Musical y en Artes Plásticas",F4:F451,"Mujer")</f>
        <v>0</v>
      </c>
      <c r="X122" s="29">
        <f>COUNTIFS(   A4:A451,"2013", D4:D451,"Investigación en Educación Musical y en Artes Plásticas")</f>
        <v>0</v>
      </c>
      <c r="Y122" s="5">
        <f>COUNTIFS(   A4:A451,"2014", D4:D451,"Investigación en Educación Musical y en Artes Plásticas")</f>
        <v>0</v>
      </c>
      <c r="Z122" s="5">
        <f>COUNTIFS(   A4:A451,"2015", D4:D451,"Investigación en Educación Musical y en Artes Plásticas")</f>
        <v>0</v>
      </c>
      <c r="AA122" s="5">
        <f>COUNTIFS(   A4:A451,"2016", D4:D451,"Investigación en Educación Musical y en Artes Plásticas")</f>
        <v>0</v>
      </c>
      <c r="AB122" s="5">
        <f>COUNTIFS(   A4:A451,"2017", D4:D451,"Investigación en Educación Musical y en Artes Plásticas")</f>
        <v>1</v>
      </c>
      <c r="AC122" s="29">
        <f>COUNTIFS(   N4:N451,"2014", D4:D451,"Investigación en Educación Musical y en Artes Plásticas")</f>
        <v>0</v>
      </c>
      <c r="AD122" s="5">
        <f>COUNTIFS(   N4:N451,"2015", D4:D451,"Investigación en Educación Musical y en Artes Plásticas")</f>
        <v>0</v>
      </c>
      <c r="AE122" s="5">
        <f>COUNTIFS(   N4:N451,"2016", D4:D451,"Investigación en Educación Musical y en Artes Plásticas")</f>
        <v>0</v>
      </c>
      <c r="AF122" s="5">
        <f>COUNTIFS(   N4:N451,"2017", D4:D451,"Investigación en Educación Musical y en Artes Plásticas")</f>
        <v>0</v>
      </c>
      <c r="AG122" s="5">
        <f>COUNTIFS(   N4:N451,"2018", D4:D451,"Investigación en Educación Musical y en Artes Plásticas")</f>
        <v>1</v>
      </c>
      <c r="AH122" s="5">
        <f>COUNTIFS(   D4:D451,"Investigación en Educación Musical y en Artes Plásticas",G4:G451,"Sí")</f>
        <v>0</v>
      </c>
      <c r="AI122" s="5">
        <f>COUNTIFS(   D4:D451,"Investigación en Educación Musical y en Artes Plásticas",G4:G451,"No")</f>
        <v>1</v>
      </c>
      <c r="AJ122" s="5">
        <f>SUMIFS( E4:E451, D4:D451,"Investigación en Educación Musical y en Artes Plásticas",G4:G451,"Sí")</f>
        <v>0</v>
      </c>
      <c r="AK122" s="5">
        <f>SUMIFS( E4:E451, D4:D451,"Investigación en Educación Musical y en Artes Plásticas",G4:G451,"No")</f>
        <v>3</v>
      </c>
      <c r="AL122" s="5">
        <f>COUNTIFS(   D4:D451,"Investigación en Educación Musical y en Artes Plásticas",H4:H451,"Sí")</f>
        <v>0</v>
      </c>
      <c r="AM122" s="5">
        <f>COUNTIFS(   D4:D451,"Investigación en Educación Musical y en Artes Plásticas",I4:I451,"Sí")</f>
        <v>0</v>
      </c>
      <c r="AN122" s="5">
        <f>COUNTIFS(   D4:D451,"Investigación en Educación Musical y en Artes Plásticas",I4:I451,"No")</f>
        <v>1</v>
      </c>
      <c r="AO122" s="5">
        <f>SUMIFS( E4:E451, D4:D451,"Investigación en Educación Musical y en Artes Plásticas",I4:I451,"Sí")</f>
        <v>0</v>
      </c>
      <c r="AP122" s="5">
        <f>SUMIFS( E4:E451, D4:D451,"Investigación en Educación Musical y en Artes Plásticas",I4:I451,"No")</f>
        <v>3</v>
      </c>
      <c r="AQ122" s="5">
        <f>COUNTIFS(   D4:D451,"Investigación en Educación Musical y en Artes Plásticas",J4:J451,"Sí")</f>
        <v>1</v>
      </c>
      <c r="AR122" s="5">
        <f>COUNTIFS(   D4:D451,"Investigación en Educación Musical y en Artes Plásticas",K4:K451,"Sí")</f>
        <v>1</v>
      </c>
      <c r="AS122" s="5">
        <f>COUNTIFS(   D4:D451,"Investigación en Educación Musical y en Artes Plásticas",L4:L451,"Sí")</f>
        <v>1</v>
      </c>
      <c r="AT122" s="5">
        <f>SUMIFS( E4:E451, D4:D451,"Investigación en Educación Musical y en Artes Plásticas")</f>
        <v>3</v>
      </c>
      <c r="AU122" s="5">
        <f>SUMIFS( E4:E451, F4:F451,"Hombre", D4:D451,"Investigación en Educación Musical y en Artes Plásticas")</f>
        <v>3</v>
      </c>
      <c r="AV122" s="5">
        <f>SUMIFS( E4:E451, F4:F451,"Mujer", D4:D451,"Investigación en Educación Musical y en Artes Plásticas")</f>
        <v>0</v>
      </c>
      <c r="AW122" s="29">
        <f>SUMIFS( E4:E451, A4:A451,"2013", D4:D451,"Investigación en Educación Musical y en Artes Plásticas")</f>
        <v>0</v>
      </c>
      <c r="AX122" s="5">
        <f>SUMIFS( E4:E451, A4:A451,"2014", D4:D451,"Investigación en Educación Musical y en Artes Plásticas")</f>
        <v>0</v>
      </c>
      <c r="AY122" s="5">
        <f>SUMIFS( E4:E451, A4:A451,"2015", D4:D451,"Investigación en Educación Musical y en Artes Plásticas")</f>
        <v>0</v>
      </c>
      <c r="AZ122" s="5">
        <f>SUMIFS( E4:E451, A4:A451,"2016", D4:D451,"Investigación en Educación Musical y en Artes Plásticas")</f>
        <v>0</v>
      </c>
      <c r="BA122" s="5">
        <f>SUMIFS( E4:E451, A4:A451,"2017", D4:D451,"Investigación en Educación Musical y en Artes Plásticas")</f>
        <v>3</v>
      </c>
      <c r="BB122" s="29">
        <f>SUMIFS( E4:E451, N4:N451,"2014", D4:D451,"Investigación en Educación Musical y en Artes Plásticas")</f>
        <v>0</v>
      </c>
      <c r="BC122" s="5">
        <f>SUMIFS( E4:E451, N4:N451,"2015", D4:D451,"Investigación en Educación Musical y en Artes Plásticas")</f>
        <v>0</v>
      </c>
      <c r="BD122" s="5">
        <f>SUMIFS( E4:E451, N4:N451,"2016", D4:D451,"Investigación en Educación Musical y en Artes Plásticas")</f>
        <v>0</v>
      </c>
      <c r="BE122" s="5">
        <f>SUMIFS( E4:E451, N4:N451,"2017", D4:D451,"Investigación en Educación Musical y en Artes Plásticas")</f>
        <v>0</v>
      </c>
      <c r="BF122" s="5">
        <f>SUMIFS( E4:E451, N4:N451,"2018", D4:D451,"Investigación en Educación Musical y en Artes Plásticas")</f>
        <v>3</v>
      </c>
      <c r="BG122" s="23">
        <f>AVERAGEIFS( E4:E451, D4:D451,"Investigación en Educación Musical y en Artes Plásticas")</f>
        <v>3</v>
      </c>
      <c r="BH122" s="23">
        <v>0</v>
      </c>
      <c r="BI122" s="23">
        <v>0</v>
      </c>
      <c r="BJ122" s="23">
        <v>0</v>
      </c>
      <c r="BK122" s="23">
        <v>0</v>
      </c>
      <c r="BL122" s="23">
        <f>AVERAGEIFS( E4:E451, A4:A451,"2017", D4:D451,"Investigación en Educación Musical y en Artes Plásticas")</f>
        <v>3</v>
      </c>
      <c r="BM122" s="23">
        <v>3</v>
      </c>
      <c r="BN122" s="23">
        <v>0</v>
      </c>
      <c r="BO122" s="23">
        <v>0</v>
      </c>
      <c r="BP122" s="23">
        <v>0</v>
      </c>
      <c r="BQ122" s="23">
        <v>0</v>
      </c>
      <c r="BR122" s="23">
        <v>3</v>
      </c>
    </row>
    <row r="123" spans="1:70" ht="15" customHeight="1" x14ac:dyDescent="0.25">
      <c r="A123">
        <v>2017</v>
      </c>
      <c r="B123" t="s">
        <v>4</v>
      </c>
      <c r="C123" t="s">
        <v>31</v>
      </c>
      <c r="D123" t="s">
        <v>32</v>
      </c>
      <c r="E123">
        <v>3</v>
      </c>
      <c r="F123" s="16" t="s">
        <v>211</v>
      </c>
      <c r="G123" t="s">
        <v>233</v>
      </c>
      <c r="H123" t="s">
        <v>233</v>
      </c>
      <c r="I123" t="s">
        <v>234</v>
      </c>
      <c r="J123" t="s">
        <v>233</v>
      </c>
      <c r="K123" t="s">
        <v>233</v>
      </c>
      <c r="L123" t="s">
        <v>234</v>
      </c>
      <c r="M123" s="14">
        <v>43154</v>
      </c>
      <c r="N123" s="14" t="str">
        <f t="shared" si="1"/>
        <v>2018</v>
      </c>
      <c r="O123" s="55" t="s">
        <v>146</v>
      </c>
      <c r="P123" s="56"/>
      <c r="Q123" s="56"/>
      <c r="R123" s="56"/>
      <c r="S123" s="56"/>
      <c r="T123" s="57"/>
      <c r="U123" s="5">
        <f>COUNTIFS(   D4:D451,"Investigación en Educación: Aspectos Teóricos, Históricos y de Educación Social")</f>
        <v>4</v>
      </c>
      <c r="V123" s="5">
        <f>COUNTIFS(   D4:D451,"Investigación en Educación: Aspectos Teóricos, Históricos y de Educación Social",F4:F451,"Hombre")</f>
        <v>2</v>
      </c>
      <c r="W123" s="5">
        <f>COUNTIFS(   D4:D451,"Investigación en Educación: Aspectos Teóricos, Históricos y de Educación Social",F4:F451,"Mujer")</f>
        <v>2</v>
      </c>
      <c r="X123" s="29">
        <f>COUNTIFS(   A4:A451,"2013", D4:D451,"Investigación en Educación: Aspectos Teóricos, Históricos y de Educación Social")</f>
        <v>0</v>
      </c>
      <c r="Y123" s="5">
        <f>COUNTIFS(   A4:A451,"2014", D4:D451,"Investigación en Educación: Aspectos Teóricos, Históricos y de Educación Social")</f>
        <v>0</v>
      </c>
      <c r="Z123" s="5">
        <f>COUNTIFS(   A4:A451,"2015", D4:D451,"Investigación en Educación: Aspectos Teóricos, Históricos y de Educación Social")</f>
        <v>1</v>
      </c>
      <c r="AA123" s="5">
        <f>COUNTIFS(   A4:A451,"2016", D4:D451,"Investigación en Educación: Aspectos Teóricos, Históricos y de Educación Social")</f>
        <v>3</v>
      </c>
      <c r="AB123" s="5">
        <f>COUNTIFS(   A4:A451,"2017", D4:D451,"Investigación en Educación: Aspectos Teóricos, Históricos y de Educación Social")</f>
        <v>0</v>
      </c>
      <c r="AC123" s="29">
        <f>COUNTIFS(   N4:N451,"2014", D4:D451,"Investigación en Educación: Aspectos Teóricos, Históricos y de Educación Social")</f>
        <v>0</v>
      </c>
      <c r="AD123" s="5">
        <f>COUNTIFS(   N4:N451,"2015", D4:D451,"Investigación en Educación: Aspectos Teóricos, Históricos y de Educación Social")</f>
        <v>0</v>
      </c>
      <c r="AE123" s="5">
        <f>COUNTIFS(   N4:N451,"2016", D4:D451,"Investigación en Educación: Aspectos Teóricos, Históricos y de Educación Social")</f>
        <v>1</v>
      </c>
      <c r="AF123" s="5">
        <f>COUNTIFS(   N4:N451,"2017", D4:D451,"Investigación en Educación: Aspectos Teóricos, Históricos y de Educación Social")</f>
        <v>3</v>
      </c>
      <c r="AG123" s="5">
        <f>COUNTIFS(   N4:N451,"2018", D4:D451,"Investigación en Educación: Aspectos Teóricos, Históricos y de Educación Social")</f>
        <v>0</v>
      </c>
      <c r="AH123" s="5">
        <f>COUNTIFS(   D4:D451,"Investigación en Educación: Aspectos Teóricos, Históricos y de Educación Social",G4:G451,"Sí")</f>
        <v>0</v>
      </c>
      <c r="AI123" s="5">
        <f>COUNTIFS(   D4:D451,"Investigación en Educación: Aspectos Teóricos, Históricos y de Educación Social",G4:G451,"No")</f>
        <v>4</v>
      </c>
      <c r="AJ123" s="5">
        <f>SUMIFS( E4:E451, D4:D451,"Investigación en Educación: Aspectos Teóricos, Históricos y de Educación Social",G4:G451,"Sí")</f>
        <v>0</v>
      </c>
      <c r="AK123" s="5">
        <f>SUMIFS( E4:E451, D4:D451,"Investigación en Educación: Aspectos Teóricos, Históricos y de Educación Social",G4:G451,"No")</f>
        <v>2</v>
      </c>
      <c r="AL123" s="5">
        <f>COUNTIFS(   D4:D451,"Investigación en Educación: Aspectos Teóricos, Históricos y de Educación Social",H4:H451,"Sí")</f>
        <v>0</v>
      </c>
      <c r="AM123" s="5">
        <f>COUNTIFS(   D4:D451,"Investigación en Educación: Aspectos Teóricos, Históricos y de Educación Social",I4:I451,"Sí")</f>
        <v>1</v>
      </c>
      <c r="AN123" s="5">
        <f>COUNTIFS(   D4:D451,"Investigación en Educación: Aspectos Teóricos, Históricos y de Educación Social",I4:I451,"No")</f>
        <v>3</v>
      </c>
      <c r="AO123" s="5">
        <f>SUMIFS( E4:E451, D4:D451,"Investigación en Educación: Aspectos Teóricos, Históricos y de Educación Social",I4:I451,"Sí")</f>
        <v>0</v>
      </c>
      <c r="AP123" s="5">
        <f>SUMIFS( E4:E451, D4:D451,"Investigación en Educación: Aspectos Teóricos, Históricos y de Educación Social",I4:I451,"No")</f>
        <v>2</v>
      </c>
      <c r="AQ123" s="5">
        <f>COUNTIFS(   D4:D451,"Investigación en Educación: Aspectos Teóricos, Históricos y de Educación Social",J4:J451,"Sí")</f>
        <v>4</v>
      </c>
      <c r="AR123" s="5">
        <f>COUNTIFS(   D4:D451,"Investigación en Educación: Aspectos Teóricos, Históricos y de Educación Social",K4:K451,"Sí")</f>
        <v>1</v>
      </c>
      <c r="AS123" s="5">
        <f>COUNTIFS(   D4:D451,"Investigación en Educación: Aspectos Teóricos, Históricos y de Educación Social",L4:L451,"Sí")</f>
        <v>4</v>
      </c>
      <c r="AT123" s="5">
        <f>SUMIFS( E4:E451, D4:D451,"Investigación en Educación: Aspectos Teóricos, Históricos y de Educación Social")</f>
        <v>2</v>
      </c>
      <c r="AU123" s="5">
        <f>SUMIFS( E4:E451, F4:F451,"Hombre", D4:D451,"Investigación en Educación: Aspectos Teóricos, Históricos y de Educación Social")</f>
        <v>0</v>
      </c>
      <c r="AV123" s="5">
        <f>SUMIFS( E4:E451, F4:F451,"Mujer", D4:D451,"Investigación en Educación: Aspectos Teóricos, Históricos y de Educación Social")</f>
        <v>2</v>
      </c>
      <c r="AW123" s="29">
        <f>SUMIFS( E4:E451, A4:A451,"2013", D4:D451,"Investigación en Educación: Aspectos Teóricos, Históricos y de Educación Social")</f>
        <v>0</v>
      </c>
      <c r="AX123" s="5">
        <f>SUMIFS( E4:E451, A4:A451,"2014", D4:D451,"Investigación en Educación: Aspectos Teóricos, Históricos y de Educación Social")</f>
        <v>0</v>
      </c>
      <c r="AY123" s="5">
        <f>SUMIFS( E4:E451, A4:A451,"2015", D4:D451,"Investigación en Educación: Aspectos Teóricos, Históricos y de Educación Social")</f>
        <v>0</v>
      </c>
      <c r="AZ123" s="5">
        <f>SUMIFS( E4:E451, A4:A451,"2016", D4:D451,"Investigación en Educación: Aspectos Teóricos, Históricos y de Educación Social")</f>
        <v>2</v>
      </c>
      <c r="BA123" s="5">
        <f>SUMIFS( E4:E451, A4:A451,"2017", D4:D451,"Investigación en Educación: Aspectos Teóricos, Históricos y de Educación Social")</f>
        <v>0</v>
      </c>
      <c r="BB123" s="29">
        <f>SUMIFS( E4:E451, N4:N451,"2014", D4:D451,"Investigación en Educación: Aspectos Teóricos, Históricos y de Educación Social")</f>
        <v>0</v>
      </c>
      <c r="BC123" s="5">
        <f>SUMIFS( E4:E451, N4:N451,"2015", D4:D451,"Investigación en Educación: Aspectos Teóricos, Históricos y de Educación Social")</f>
        <v>0</v>
      </c>
      <c r="BD123" s="5">
        <f>SUMIFS( E4:E451, N4:N451,"2016", D4:D451,"Investigación en Educación: Aspectos Teóricos, Históricos y de Educación Social")</f>
        <v>0</v>
      </c>
      <c r="BE123" s="5">
        <f>SUMIFS( E4:E451, N4:N451,"2017", D4:D451,"Investigación en Educación: Aspectos Teóricos, Históricos y de Educación Social")</f>
        <v>2</v>
      </c>
      <c r="BF123" s="5">
        <f>SUMIFS( E4:E451, N4:N451,"2018", D4:D451,"Investigación en Educación: Aspectos Teóricos, Históricos y de Educación Social")</f>
        <v>0</v>
      </c>
      <c r="BG123" s="23">
        <f>AVERAGEIFS( E4:E451, D4:D451,"Investigación en Educación: Aspectos Teóricos, Históricos y de Educación Social")</f>
        <v>0.5</v>
      </c>
      <c r="BH123" s="23">
        <v>0</v>
      </c>
      <c r="BI123" s="23">
        <v>0</v>
      </c>
      <c r="BJ123" s="23">
        <f>AVERAGEIFS( E4:E451, A4:A451,"2015", D4:D451,"Investigación en Educación: Aspectos Teóricos, Históricos y de Educación Social")</f>
        <v>0</v>
      </c>
      <c r="BK123" s="23">
        <f>AVERAGEIFS( E4:E451, A4:A451,"2016", D4:D451,"Investigación en Educación: Aspectos Teóricos, Históricos y de Educación Social")</f>
        <v>0.66666666666666663</v>
      </c>
      <c r="BL123" s="23">
        <v>0</v>
      </c>
      <c r="BM123" s="23">
        <v>0.5</v>
      </c>
      <c r="BN123" s="23">
        <v>0</v>
      </c>
      <c r="BO123" s="23">
        <v>0</v>
      </c>
      <c r="BP123" s="23">
        <v>0</v>
      </c>
      <c r="BQ123" s="23">
        <v>0.66666666666666663</v>
      </c>
      <c r="BR123" s="23">
        <v>0</v>
      </c>
    </row>
    <row r="124" spans="1:70" ht="15" customHeight="1" x14ac:dyDescent="0.25">
      <c r="A124">
        <v>2017</v>
      </c>
      <c r="B124" t="s">
        <v>4</v>
      </c>
      <c r="C124" t="s">
        <v>31</v>
      </c>
      <c r="D124" t="s">
        <v>32</v>
      </c>
      <c r="E124" s="17">
        <v>6</v>
      </c>
      <c r="F124" s="16" t="s">
        <v>211</v>
      </c>
      <c r="G124" t="s">
        <v>233</v>
      </c>
      <c r="H124" t="s">
        <v>233</v>
      </c>
      <c r="I124" t="s">
        <v>233</v>
      </c>
      <c r="J124" t="s">
        <v>234</v>
      </c>
      <c r="K124" t="s">
        <v>234</v>
      </c>
      <c r="L124" t="s">
        <v>234</v>
      </c>
      <c r="M124" s="14">
        <v>43119</v>
      </c>
      <c r="N124" s="14" t="str">
        <f t="shared" si="1"/>
        <v>2018</v>
      </c>
      <c r="O124" s="55" t="s">
        <v>141</v>
      </c>
      <c r="P124" s="56"/>
      <c r="Q124" s="56"/>
      <c r="R124" s="56"/>
      <c r="S124" s="56"/>
      <c r="T124" s="57"/>
      <c r="U124" s="5">
        <f>COUNTIFS(   D4:D451,"Psicología, Educación y Desarrollo")</f>
        <v>4</v>
      </c>
      <c r="V124" s="5">
        <f>COUNTIFS(   D4:D451,"Psicología, Educación y Desarrollo",F4:F451,"Hombre")</f>
        <v>0</v>
      </c>
      <c r="W124" s="5">
        <f>COUNTIFS(   D4:D451,"Psicología, Educación y Desarrollo",F4:F451,"Mujer")</f>
        <v>4</v>
      </c>
      <c r="X124" s="29">
        <f>COUNTIFS(   A4:A451,"2013", D4:D451,"Psicología, Educación y Desarrollo")</f>
        <v>0</v>
      </c>
      <c r="Y124" s="5">
        <f>COUNTIFS(   A4:A451,"2014", D4:D451,"Psicología, Educación y Desarrollo")</f>
        <v>0</v>
      </c>
      <c r="Z124" s="5">
        <f>COUNTIFS(   A4:A451,"2015", D4:D451,"Psicología, Educación y Desarrollo")</f>
        <v>0</v>
      </c>
      <c r="AA124" s="5">
        <f>COUNTIFS(   A4:A451,"2016", D4:D451,"Psicología, Educación y Desarrollo")</f>
        <v>1</v>
      </c>
      <c r="AB124" s="5">
        <f>COUNTIFS(   A4:A451,"2017", D4:D451,"Psicología, Educación y Desarrollo")</f>
        <v>3</v>
      </c>
      <c r="AC124" s="29">
        <f>COUNTIFS(   N4:N451,"2014", D4:D451,"Psicología, Educación y Desarrollo")</f>
        <v>0</v>
      </c>
      <c r="AD124" s="5">
        <f>COUNTIFS(   N4:N451,"2015", D4:D451,"Psicología, Educación y Desarrollo")</f>
        <v>0</v>
      </c>
      <c r="AE124" s="5">
        <f>COUNTIFS(   N4:N451,"2016", D4:D451,"Psicología, Educación y Desarrollo")</f>
        <v>0</v>
      </c>
      <c r="AF124" s="5">
        <f>COUNTIFS(   N4:N451,"2017", D4:D451,"Psicología, Educación y Desarrollo")</f>
        <v>2</v>
      </c>
      <c r="AG124" s="5">
        <f>COUNTIFS(   N4:N451,"2018", D4:D451,"Psicología, Educación y Desarrollo")</f>
        <v>2</v>
      </c>
      <c r="AH124" s="5">
        <f>COUNTIFS(   D4:D451,"Psicología, Educación y Desarrollo",G4:G451,"Sí")</f>
        <v>0</v>
      </c>
      <c r="AI124" s="5">
        <f>COUNTIFS(   D4:D451,"Psicología, Educación y Desarrollo",G4:G451,"No")</f>
        <v>4</v>
      </c>
      <c r="AJ124" s="5">
        <f>SUMIFS( E4:E451, D4:D451,"Psicología, Educación y Desarrollo",G4:G451,"Sí")</f>
        <v>0</v>
      </c>
      <c r="AK124" s="5">
        <f>SUMIFS( E4:E451, D4:D451,"Psicología, Educación y Desarrollo",G4:G451,"No")</f>
        <v>37</v>
      </c>
      <c r="AL124" s="5">
        <f>COUNTIFS(   D4:D451,"Psicología, Educación y Desarrollo",H4:H451,"Sí")</f>
        <v>1</v>
      </c>
      <c r="AM124" s="5">
        <f>COUNTIFS(   D4:D451,"Psicología, Educación y Desarrollo",I4:I451,"Sí")</f>
        <v>3</v>
      </c>
      <c r="AN124" s="5">
        <f>COUNTIFS(   D4:D451,"Psicología, Educación y Desarrollo",I4:I451,"No")</f>
        <v>1</v>
      </c>
      <c r="AO124" s="5">
        <f>SUMIFS( E4:E451, D4:D451,"Psicología, Educación y Desarrollo",I4:I451,"Sí")</f>
        <v>36</v>
      </c>
      <c r="AP124" s="5">
        <f>SUMIFS( E4:E451, D4:D451,"Psicología, Educación y Desarrollo",I4:I451,"No")</f>
        <v>1</v>
      </c>
      <c r="AQ124" s="5">
        <f>COUNTIFS(   D4:D451,"Psicología, Educación y Desarrollo",J4:J451,"Sí")</f>
        <v>4</v>
      </c>
      <c r="AR124" s="5">
        <f>COUNTIFS(   D4:D451,"Psicología, Educación y Desarrollo",K4:K451,"Sí")</f>
        <v>2</v>
      </c>
      <c r="AS124" s="5">
        <f>COUNTIFS(   D4:D451,"Psicología, Educación y Desarrollo",L4:L451,"Sí")</f>
        <v>4</v>
      </c>
      <c r="AT124" s="5">
        <f>SUMIFS( E4:E451, D4:D451,"Psicología, Educación y Desarrollo")</f>
        <v>37</v>
      </c>
      <c r="AU124" s="5">
        <f>SUMIFS( E4:E451, F4:F451,"Hombre", D4:D451,"Psicología, Educación y Desarrollo")</f>
        <v>0</v>
      </c>
      <c r="AV124" s="5">
        <f>SUMIFS( E4:E451, F4:F451,"Mujer", D4:D451,"Psicología, Educación y Desarrollo")</f>
        <v>37</v>
      </c>
      <c r="AW124" s="29">
        <f>SUMIFS( E4:E451, A4:A451,"2013", D4:D451,"Psicología, Educación y Desarrollo")</f>
        <v>0</v>
      </c>
      <c r="AX124" s="5">
        <f>SUMIFS( E4:E451, A4:A451,"2014", D4:D451,"Psicología, Educación y Desarrollo")</f>
        <v>0</v>
      </c>
      <c r="AY124" s="5">
        <f>SUMIFS( E4:E451, A4:A451,"2015", D4:D451,"Psicología, Educación y Desarrollo")</f>
        <v>0</v>
      </c>
      <c r="AZ124" s="5">
        <f>SUMIFS( E4:E451, A4:A451,"2016", D4:D451,"Psicología, Educación y Desarrollo")</f>
        <v>10</v>
      </c>
      <c r="BA124" s="5">
        <f>SUMIFS( E4:E451, A4:A451,"2017", D4:D451,"Psicología, Educación y Desarrollo")</f>
        <v>27</v>
      </c>
      <c r="BB124" s="29">
        <f>SUMIFS( E4:E451, N4:N451,"2014", D4:D451,"Psicología, Educación y Desarrollo")</f>
        <v>0</v>
      </c>
      <c r="BC124" s="5">
        <f>SUMIFS( E4:E451, N4:N451,"2015", D4:D451,"Psicología, Educación y Desarrollo")</f>
        <v>0</v>
      </c>
      <c r="BD124" s="5">
        <f>SUMIFS( E4:E451, N4:N451,"2016", D4:D451,"Psicología, Educación y Desarrollo")</f>
        <v>0</v>
      </c>
      <c r="BE124" s="5">
        <f>SUMIFS( E4:E451, N4:N451,"2017", D4:D451,"Psicología, Educación y Desarrollo")</f>
        <v>11</v>
      </c>
      <c r="BF124" s="5">
        <f>SUMIFS( E4:E451, N4:N451,"2018", D4:D451,"Psicología, Educación y Desarrollo")</f>
        <v>26</v>
      </c>
      <c r="BG124" s="23">
        <f>AVERAGEIFS( E4:E451, D4:D451,"Psicología, Educación y Desarrollo")</f>
        <v>9.25</v>
      </c>
      <c r="BH124" s="23">
        <v>0</v>
      </c>
      <c r="BI124" s="23">
        <v>0</v>
      </c>
      <c r="BJ124" s="23">
        <v>0</v>
      </c>
      <c r="BK124" s="23">
        <f>AVERAGEIFS( E4:E451, A4:A451,"2016", D4:D451,"Psicología, Educación y Desarrollo")</f>
        <v>10</v>
      </c>
      <c r="BL124" s="23">
        <f>AVERAGEIFS( E4:E451, A4:A451,"2017", D4:D451,"Psicología, Educación y Desarrollo")</f>
        <v>9</v>
      </c>
      <c r="BM124" s="23">
        <v>9.25</v>
      </c>
      <c r="BN124" s="23">
        <v>0</v>
      </c>
      <c r="BO124" s="23">
        <v>0</v>
      </c>
      <c r="BP124" s="23">
        <v>0</v>
      </c>
      <c r="BQ124" s="23">
        <v>10</v>
      </c>
      <c r="BR124" s="23">
        <v>9</v>
      </c>
    </row>
    <row r="125" spans="1:70" ht="15" customHeight="1" x14ac:dyDescent="0.25">
      <c r="A125">
        <v>2017</v>
      </c>
      <c r="B125" t="s">
        <v>4</v>
      </c>
      <c r="C125" t="s">
        <v>31</v>
      </c>
      <c r="D125" t="s">
        <v>33</v>
      </c>
      <c r="E125" s="17">
        <v>8</v>
      </c>
      <c r="F125" s="16" t="s">
        <v>215</v>
      </c>
      <c r="G125" t="s">
        <v>233</v>
      </c>
      <c r="H125" t="s">
        <v>233</v>
      </c>
      <c r="I125" t="s">
        <v>234</v>
      </c>
      <c r="J125" t="s">
        <v>234</v>
      </c>
      <c r="K125" t="s">
        <v>234</v>
      </c>
      <c r="L125" t="s">
        <v>234</v>
      </c>
      <c r="M125" s="14">
        <v>43087</v>
      </c>
      <c r="N125" s="14" t="str">
        <f t="shared" si="1"/>
        <v>2017</v>
      </c>
      <c r="O125" s="6" t="s">
        <v>70</v>
      </c>
      <c r="P125" s="12"/>
      <c r="Q125" s="12"/>
      <c r="R125" s="12"/>
      <c r="S125" s="12"/>
      <c r="T125" s="13"/>
      <c r="U125" s="4">
        <f>COUNTIFS(   C4:C451,"Ciencias Económicas y Empresariales")</f>
        <v>10</v>
      </c>
      <c r="V125" s="4">
        <f>COUNTIFS(   C4:C451,"Ciencias Económicas y Empresariales",F4:F451,"Hombre")</f>
        <v>8</v>
      </c>
      <c r="W125" s="4">
        <f>COUNTIFS(   C4:C451,"Ciencias Económicas y Empresariales",F4:F451,"Mujer")</f>
        <v>2</v>
      </c>
      <c r="X125" s="28">
        <f>COUNTIFS(   A4:A451,"2013", C4:C451,"Ciencias Económicas y Empresariales")</f>
        <v>0</v>
      </c>
      <c r="Y125" s="4">
        <f>COUNTIFS(   A4:A451,"2014", C4:C451,"Ciencias Económicas y Empresariales")</f>
        <v>0</v>
      </c>
      <c r="Z125" s="4">
        <f>COUNTIFS(   A4:A451,"2015", C4:C451,"Ciencias Económicas y Empresariales")</f>
        <v>1</v>
      </c>
      <c r="AA125" s="4">
        <f>COUNTIFS(   A4:A451,"2016", C4:C451,"Ciencias Económicas y Empresariales")</f>
        <v>5</v>
      </c>
      <c r="AB125" s="4">
        <f>COUNTIFS(   A4:A451,"2017", C4:C451,"Ciencias Económicas y Empresariales")</f>
        <v>4</v>
      </c>
      <c r="AC125" s="28">
        <f>COUNTIFS(   N4:N451,"2014", C4:C451,"Ciencias Económicas y Empresariales")</f>
        <v>0</v>
      </c>
      <c r="AD125" s="4">
        <f>COUNTIFS(   N4:N451,"2015", C4:C451,"Ciencias Económicas y Empresariales")</f>
        <v>0</v>
      </c>
      <c r="AE125" s="4">
        <f>COUNTIFS(   N4:N451,"2016", C4:C451,"Ciencias Económicas y Empresariales")</f>
        <v>1</v>
      </c>
      <c r="AF125" s="4">
        <f>COUNTIFS(   N4:N451,"2017", C4:C451,"Ciencias Económicas y Empresariales")</f>
        <v>6</v>
      </c>
      <c r="AG125" s="4">
        <f>COUNTIFS(   N4:N451,"2018", C4:C451,"Ciencias Económicas y Empresariales")</f>
        <v>3</v>
      </c>
      <c r="AH125" s="4">
        <f>COUNTIFS(   C4:C451,"Ciencias Económicas y Empresariales",G4:G451,"Sí")</f>
        <v>1</v>
      </c>
      <c r="AI125" s="4">
        <f>COUNTIFS(   C4:C451,"Ciencias Económicas y Empresariales",G4:G451,"No")</f>
        <v>9</v>
      </c>
      <c r="AJ125" s="4">
        <f>SUMIFS( E4:E451, C4:C451,"Ciencias Económicas y Empresariales",G4:G451,"Sí")</f>
        <v>1</v>
      </c>
      <c r="AK125" s="4">
        <f>SUMIFS( E4:E451, C4:C451,"Ciencias Económicas y Empresariales",G4:G451,"No")</f>
        <v>39</v>
      </c>
      <c r="AL125" s="4">
        <f>COUNTIFS(   C4:C451,"Ciencias Económicas y Empresariales",H4:H451,"Sí")</f>
        <v>2</v>
      </c>
      <c r="AM125" s="4">
        <f>COUNTIFS(   C4:C451,"Ciencias Económicas y Empresariales",I4:I451,"Sí")</f>
        <v>5</v>
      </c>
      <c r="AN125" s="4">
        <f>COUNTIFS(   C4:C451,"Ciencias Económicas y Empresariales",I4:I451,"No")</f>
        <v>5</v>
      </c>
      <c r="AO125" s="4">
        <f>SUMIFS( E4:E451, C4:C451,"Ciencias Económicas y Empresariales",I4:I451,"Sí")</f>
        <v>19</v>
      </c>
      <c r="AP125" s="4">
        <f>SUMIFS( E4:E451, C4:C451,"Ciencias Económicas y Empresariales",I4:I451,"No")</f>
        <v>21</v>
      </c>
      <c r="AQ125" s="4">
        <f>COUNTIFS(   C4:C451,"Ciencias Económicas y Empresariales",J4:J451,"Sí")</f>
        <v>9</v>
      </c>
      <c r="AR125" s="4">
        <f>COUNTIFS(   C4:C451,"Ciencias Económicas y Empresariales",K4:K451,"Sí")</f>
        <v>5</v>
      </c>
      <c r="AS125" s="4">
        <f>COUNTIFS(   C4:C451,"Ciencias Económicas y Empresariales",L4:L451,"Sí")</f>
        <v>8</v>
      </c>
      <c r="AT125" s="4">
        <f>SUMIFS( E4:E451, C4:C451,"Ciencias Económicas y Empresariales")</f>
        <v>40</v>
      </c>
      <c r="AU125" s="4">
        <f>SUMIFS( E4:E451, F4:F451,"Hombre", C4:C451,"Ciencias Económicas y Empresariales")</f>
        <v>32</v>
      </c>
      <c r="AV125" s="4">
        <f>SUMIFS( E4:E451, F4:F451,"Mujer", C4:C451,"Ciencias Económicas y Empresariales")</f>
        <v>8</v>
      </c>
      <c r="AW125" s="28">
        <f>SUMIFS( E4:E451, A4:A451,"2013", C4:C451,"Ciencias Económicas y Empresariales")</f>
        <v>0</v>
      </c>
      <c r="AX125" s="4">
        <f>SUMIFS( E4:E451, A4:A451,"2014", C4:C451,"Ciencias Económicas y Empresariales")</f>
        <v>0</v>
      </c>
      <c r="AY125" s="4">
        <f>SUMIFS( E4:E451, A4:A451,"2015", C4:C451,"Ciencias Económicas y Empresariales")</f>
        <v>2</v>
      </c>
      <c r="AZ125" s="4">
        <f>SUMIFS( E4:E451, A4:A451,"2016", C4:C451,"Ciencias Económicas y Empresariales")</f>
        <v>21</v>
      </c>
      <c r="BA125" s="4">
        <f>SUMIFS( E4:E451, A4:A451,"2017", C4:C451,"Ciencias Económicas y Empresariales")</f>
        <v>17</v>
      </c>
      <c r="BB125" s="28">
        <f>SUMIFS( E4:E451, N4:N451,"2014", C4:C451,"Ciencias Económicas y Empresariales")</f>
        <v>0</v>
      </c>
      <c r="BC125" s="4">
        <f>SUMIFS( E4:E451, N4:N451,"2015", C4:C451,"Ciencias Económicas y Empresariales")</f>
        <v>0</v>
      </c>
      <c r="BD125" s="4">
        <f>SUMIFS( E4:E451, N4:N451,"2016", C4:C451,"Ciencias Económicas y Empresariales")</f>
        <v>2</v>
      </c>
      <c r="BE125" s="4">
        <f>SUMIFS( E4:E451, N4:N451,"2017", C4:C451,"Ciencias Económicas y Empresariales")</f>
        <v>22</v>
      </c>
      <c r="BF125" s="4">
        <f>SUMIFS( E4:E451, N4:N451,"2018", C4:C451,"Ciencias Económicas y Empresariales")</f>
        <v>16</v>
      </c>
      <c r="BG125" s="22">
        <f>AVERAGEIFS( E4:E451, C4:C451,"Ciencias Económicas y Empresariales")</f>
        <v>4</v>
      </c>
      <c r="BH125" s="22">
        <v>0</v>
      </c>
      <c r="BI125" s="22">
        <v>0</v>
      </c>
      <c r="BJ125" s="22">
        <f>AVERAGEIFS( E4:E451, A4:A451,"2015", C4:C451,"Ciencias Económicas y Empresariales")</f>
        <v>2</v>
      </c>
      <c r="BK125" s="22">
        <f>AVERAGEIFS( E4:E451, A4:A451,"2016", C4:C451,"Ciencias Económicas y Empresariales")</f>
        <v>4.2</v>
      </c>
      <c r="BL125" s="22">
        <f>AVERAGEIFS( E4:E451, A4:A451,"2017", C4:C451,"Ciencias Económicas y Empresariales")</f>
        <v>4.25</v>
      </c>
      <c r="BM125" s="22">
        <f>AVERAGE(AT126:AT130)</f>
        <v>8</v>
      </c>
      <c r="BN125" s="22">
        <v>0</v>
      </c>
      <c r="BO125" s="22">
        <v>0</v>
      </c>
      <c r="BP125" s="22">
        <f>AVERAGE(AY126:AY130)</f>
        <v>0.4</v>
      </c>
      <c r="BQ125" s="22">
        <f>AVERAGE(AZ126:AZ130)</f>
        <v>4.2</v>
      </c>
      <c r="BR125" s="22">
        <f>AVERAGE(BA126:BA130)</f>
        <v>3.4</v>
      </c>
    </row>
    <row r="126" spans="1:70" ht="15" customHeight="1" x14ac:dyDescent="0.25">
      <c r="A126">
        <v>2016</v>
      </c>
      <c r="B126" t="s">
        <v>4</v>
      </c>
      <c r="C126" t="s">
        <v>31</v>
      </c>
      <c r="D126" t="s">
        <v>33</v>
      </c>
      <c r="E126">
        <v>9</v>
      </c>
      <c r="F126" s="16" t="s">
        <v>211</v>
      </c>
      <c r="G126" t="s">
        <v>233</v>
      </c>
      <c r="H126" t="s">
        <v>233</v>
      </c>
      <c r="I126" t="s">
        <v>233</v>
      </c>
      <c r="J126" t="s">
        <v>234</v>
      </c>
      <c r="K126" t="s">
        <v>233</v>
      </c>
      <c r="L126" t="s">
        <v>234</v>
      </c>
      <c r="M126" s="14">
        <v>42929</v>
      </c>
      <c r="N126" s="14" t="str">
        <f t="shared" si="1"/>
        <v>2017</v>
      </c>
      <c r="O126" s="55" t="s">
        <v>152</v>
      </c>
      <c r="P126" s="56"/>
      <c r="Q126" s="56"/>
      <c r="R126" s="56"/>
      <c r="S126" s="56"/>
      <c r="T126" s="57"/>
      <c r="U126" s="5">
        <f>COUNTIFS(   D4:D451,"Análisis económico")</f>
        <v>2</v>
      </c>
      <c r="V126" s="5">
        <f>COUNTIFS(   D4:D451,"Análisis económico",F4:F451,"Hombre")</f>
        <v>2</v>
      </c>
      <c r="W126" s="5">
        <f>COUNTIFS(   D4:D451,"Análisis económico",F4:F451,"Mujer")</f>
        <v>0</v>
      </c>
      <c r="X126" s="29">
        <f>COUNTIFS(   A4:A451,"2013", D4:D451,"Análisis económico")</f>
        <v>0</v>
      </c>
      <c r="Y126" s="5">
        <f>COUNTIFS(   A4:A451,"2014", D4:D451,"Análisis económico")</f>
        <v>0</v>
      </c>
      <c r="Z126" s="5">
        <f>COUNTIFS(   A4:A451,"2015", D4:D451,"Análisis económico")</f>
        <v>0</v>
      </c>
      <c r="AA126" s="5">
        <f>COUNTIFS(   A4:A451,"2016", D4:D451,"Análisis económico")</f>
        <v>2</v>
      </c>
      <c r="AB126" s="5">
        <f>COUNTIFS(   A4:A451,"2017", D4:D451,"Análisis económico")</f>
        <v>0</v>
      </c>
      <c r="AC126" s="29">
        <f>COUNTIFS(   N4:N451,"2014", D4:D451,"Análisis económico")</f>
        <v>0</v>
      </c>
      <c r="AD126" s="5">
        <f>COUNTIFS(   N4:N451,"2015", D4:D451,"Análisis económico")</f>
        <v>0</v>
      </c>
      <c r="AE126" s="5">
        <f>COUNTIFS(   N4:N451,"2016", D4:D451,"Análisis económico")</f>
        <v>0</v>
      </c>
      <c r="AF126" s="5">
        <f>COUNTIFS(   N4:N451,"2017", D4:D451,"Análisis económico")</f>
        <v>2</v>
      </c>
      <c r="AG126" s="5">
        <f>COUNTIFS(   N4:N451,"2018", D4:D451,"Análisis económico")</f>
        <v>0</v>
      </c>
      <c r="AH126" s="5">
        <f>COUNTIFS(   D4:D451,"Análisis económico",G4:G451,"Sí")</f>
        <v>0</v>
      </c>
      <c r="AI126" s="5">
        <f>COUNTIFS(   D4:D451,"Análisis económico",G4:G451,"No")</f>
        <v>2</v>
      </c>
      <c r="AJ126" s="5">
        <f>SUMIFS( E4:E451, D4:D451,"Análisis económico",G4:G451,"Sí")</f>
        <v>0</v>
      </c>
      <c r="AK126" s="5">
        <f>SUMIFS( E4:E451, D4:D451,"Análisis económico",G4:G451,"No")</f>
        <v>7</v>
      </c>
      <c r="AL126" s="5">
        <f>COUNTIFS(   D4:D451,"Análisis económico",H4:H451,"Sí")</f>
        <v>0</v>
      </c>
      <c r="AM126" s="5">
        <f>COUNTIFS(   D4:D451,"Análisis económico",I4:I451,"Sí")</f>
        <v>1</v>
      </c>
      <c r="AN126" s="5">
        <f>COUNTIFS(   D4:D451,"Análisis económico",I4:I451,"No")</f>
        <v>1</v>
      </c>
      <c r="AO126" s="5">
        <f>SUMIFS( E4:E451, D4:D451,"Análisis económico",I4:I451,"Sí")</f>
        <v>3</v>
      </c>
      <c r="AP126" s="5">
        <f>SUMIFS( E4:E451, D4:D451,"Análisis económico",I4:I451,"No")</f>
        <v>4</v>
      </c>
      <c r="AQ126" s="5">
        <f>COUNTIFS(   D4:D451,"Análisis económico",J4:J451,"Sí")</f>
        <v>2</v>
      </c>
      <c r="AR126" s="5">
        <f>COUNTIFS(   D4:D451,"Análisis económico",K4:K451,"Sí")</f>
        <v>1</v>
      </c>
      <c r="AS126" s="5">
        <f>COUNTIFS(   D4:D451,"Análisis económico",L4:L451,"Sí")</f>
        <v>1</v>
      </c>
      <c r="AT126" s="5">
        <f>SUMIFS( E4:E451, D4:D451,"Análisis económico")</f>
        <v>7</v>
      </c>
      <c r="AU126" s="5">
        <f>SUMIFS( E4:E451, F4:F451,"Hombre", D4:D451,"Análisis económico")</f>
        <v>7</v>
      </c>
      <c r="AV126" s="5">
        <f>SUMIFS( E4:E451, F4:F451,"Mujer", D4:D451,"Análisis económico")</f>
        <v>0</v>
      </c>
      <c r="AW126" s="29">
        <f>SUMIFS( E4:E451, A4:A451,"2013", D4:D451,"Análisis económico")</f>
        <v>0</v>
      </c>
      <c r="AX126" s="5">
        <f>SUMIFS( E4:E451, A4:A451,"2014", D4:D451,"Análisis económico")</f>
        <v>0</v>
      </c>
      <c r="AY126" s="5">
        <f>SUMIFS( E4:E451, A4:A451,"2015", D4:D451,"Análisis económico")</f>
        <v>0</v>
      </c>
      <c r="AZ126" s="5">
        <f>SUMIFS( E4:E451, A4:A451,"2016", D4:D451,"Análisis económico")</f>
        <v>7</v>
      </c>
      <c r="BA126" s="5">
        <f>SUMIFS( E4:E451, A4:A451,"2017", D4:D451,"Análisis económico")</f>
        <v>0</v>
      </c>
      <c r="BB126" s="29">
        <f>SUMIFS( E4:E451, N4:N451,"2014", D4:D451,"Análisis económico")</f>
        <v>0</v>
      </c>
      <c r="BC126" s="5">
        <f>SUMIFS( E4:E451, N4:N451,"2015", D4:D451,"Análisis económico")</f>
        <v>0</v>
      </c>
      <c r="BD126" s="5">
        <f>SUMIFS( E4:E451, N4:N451,"2016", D4:D451,"Análisis económico")</f>
        <v>0</v>
      </c>
      <c r="BE126" s="5">
        <f>SUMIFS( E4:E451, N4:N451,"2017", D4:D451,"Análisis económico")</f>
        <v>7</v>
      </c>
      <c r="BF126" s="5">
        <f>SUMIFS( E4:E451, N4:N451,"2018", D4:D451,"Análisis económico")</f>
        <v>0</v>
      </c>
      <c r="BG126" s="23">
        <f>AVERAGEIFS( E4:E451, D4:D451,"Análisis económico")</f>
        <v>3.5</v>
      </c>
      <c r="BH126" s="23">
        <v>0</v>
      </c>
      <c r="BI126" s="23">
        <v>0</v>
      </c>
      <c r="BJ126" s="23">
        <v>0</v>
      </c>
      <c r="BK126" s="23">
        <f>AVERAGEIFS( E4:E451, A4:A451,"2016", D4:D451,"Análisis económico")</f>
        <v>3.5</v>
      </c>
      <c r="BL126" s="23">
        <v>0</v>
      </c>
      <c r="BM126" s="23">
        <v>3.5</v>
      </c>
      <c r="BN126" s="23">
        <v>0</v>
      </c>
      <c r="BO126" s="23">
        <v>0</v>
      </c>
      <c r="BP126" s="23">
        <v>0</v>
      </c>
      <c r="BQ126" s="23">
        <v>3.5</v>
      </c>
      <c r="BR126" s="23">
        <v>0</v>
      </c>
    </row>
    <row r="127" spans="1:70" ht="15" customHeight="1" x14ac:dyDescent="0.25">
      <c r="A127">
        <v>2016</v>
      </c>
      <c r="B127" t="s">
        <v>4</v>
      </c>
      <c r="C127" t="s">
        <v>31</v>
      </c>
      <c r="D127" t="s">
        <v>33</v>
      </c>
      <c r="E127">
        <v>11</v>
      </c>
      <c r="F127" s="16" t="s">
        <v>215</v>
      </c>
      <c r="G127" t="s">
        <v>233</v>
      </c>
      <c r="H127" t="s">
        <v>233</v>
      </c>
      <c r="I127" t="s">
        <v>233</v>
      </c>
      <c r="J127" t="s">
        <v>234</v>
      </c>
      <c r="K127" t="s">
        <v>233</v>
      </c>
      <c r="L127" t="s">
        <v>234</v>
      </c>
      <c r="M127" s="14">
        <v>42921</v>
      </c>
      <c r="N127" s="14" t="str">
        <f t="shared" si="1"/>
        <v>2017</v>
      </c>
      <c r="O127" s="55" t="s">
        <v>153</v>
      </c>
      <c r="P127" s="56"/>
      <c r="Q127" s="56"/>
      <c r="R127" s="56"/>
      <c r="S127" s="56"/>
      <c r="T127" s="57"/>
      <c r="U127" s="5">
        <f>COUNTIFS(   D4:D451,"Dirección estratégica, creación de empresas, flexibilidad y calidad")</f>
        <v>1</v>
      </c>
      <c r="V127" s="5">
        <f>COUNTIFS(   D4:D451,"Dirección estratégica, creación de empresas, flexibilidad y calidad",F4:F451,"Hombre")</f>
        <v>1</v>
      </c>
      <c r="W127" s="5">
        <f>COUNTIFS(   D4:D451,"Dirección estratégica, creación de empresas, flexibilidad y calidad",F4:F451,"Mujer")</f>
        <v>0</v>
      </c>
      <c r="X127" s="29">
        <f>COUNTIFS(   A4:A451,"2013", D4:D451,"Dirección estratégica, creación de empresas, flexibilidad y calidad")</f>
        <v>0</v>
      </c>
      <c r="Y127" s="5">
        <f>COUNTIFS(   A4:A451,"2014", D4:D451,"Dirección estratégica, creación de empresas, flexibilidad y calidad")</f>
        <v>0</v>
      </c>
      <c r="Z127" s="5">
        <f>COUNTIFS(   A4:A451,"2015", D4:D451,"Dirección estratégica, creación de empresas, flexibilidad y calidad")</f>
        <v>1</v>
      </c>
      <c r="AA127" s="5">
        <f>COUNTIFS(   A4:A451,"2016", D4:D451,"Dirección estratégica, creación de empresas, flexibilidad y calidad")</f>
        <v>0</v>
      </c>
      <c r="AB127" s="5">
        <f>COUNTIFS(   A4:A451,"2017", D4:D451,"Dirección estratégica, creación de empresas, flexibilidad y calidad")</f>
        <v>0</v>
      </c>
      <c r="AC127" s="29">
        <f>COUNTIFS(   N4:N451,"2014", D4:D451,"Dirección estratégica, creación de empresas, flexibilidad y calidad")</f>
        <v>0</v>
      </c>
      <c r="AD127" s="5">
        <f>COUNTIFS(   N4:N451,"2015", D4:D451,"Dirección estratégica, creación de empresas, flexibilidad y calidad")</f>
        <v>0</v>
      </c>
      <c r="AE127" s="5">
        <f>COUNTIFS(   N4:N451,"2016", D4:D451,"Dirección estratégica, creación de empresas, flexibilidad y calidad")</f>
        <v>1</v>
      </c>
      <c r="AF127" s="5">
        <f>COUNTIFS(   N4:N451,"2017", D4:D451,"Dirección estratégica, creación de empresas, flexibilidad y calidad")</f>
        <v>0</v>
      </c>
      <c r="AG127" s="5">
        <f>COUNTIFS(   N4:N451,"2018", D4:D451,"Dirección estratégica, creación de empresas, flexibilidad y calidad")</f>
        <v>0</v>
      </c>
      <c r="AH127" s="5">
        <f>COUNTIFS(   D4:D451,"Dirección estratégica, creación de empresas, flexibilidad y calidad",G4:G451,"Sí")</f>
        <v>0</v>
      </c>
      <c r="AI127" s="5">
        <f>COUNTIFS(   D4:D451,"Dirección estratégica, creación de empresas, flexibilidad y calidad",G4:G451,"No")</f>
        <v>1</v>
      </c>
      <c r="AJ127" s="5">
        <f>SUMIFS( E4:E451, D4:D451,"Dirección estratégica, creación de empresas, flexibilidad y calidad",G4:G451,"Sí")</f>
        <v>0</v>
      </c>
      <c r="AK127" s="5">
        <f>SUMIFS( E4:E451, D4:D451,"Dirección estratégica, creación de empresas, flexibilidad y calidad",G4:G451,"No")</f>
        <v>2</v>
      </c>
      <c r="AL127" s="5">
        <f>COUNTIFS(   D4:D451,"Dirección estratégica, creación de empresas, flexibilidad y calidad",H4:H451,"Sí")</f>
        <v>0</v>
      </c>
      <c r="AM127" s="5">
        <f>COUNTIFS(   D4:D451,"Dirección estratégica, creación de empresas, flexibilidad y calidad",I4:I451,"Sí")</f>
        <v>1</v>
      </c>
      <c r="AN127" s="5">
        <f>COUNTIFS(   D4:D451,"Dirección estratégica, creación de empresas, flexibilidad y calidad",I4:I451,"No")</f>
        <v>0</v>
      </c>
      <c r="AO127" s="5">
        <f>SUMIFS( E4:E451, D4:D451,"Dirección estratégica, creación de empresas, flexibilidad y calidad",I4:I451,"Sí")</f>
        <v>2</v>
      </c>
      <c r="AP127" s="5">
        <f>SUMIFS( E4:E451, D4:D451,"Dirección estratégica, creación de empresas, flexibilidad y calidad",I4:I451,"No")</f>
        <v>0</v>
      </c>
      <c r="AQ127" s="5">
        <f>COUNTIFS(   D4:D451,"Dirección estratégica, creación de empresas, flexibilidad y calidad",J4:J451,"Sí")</f>
        <v>1</v>
      </c>
      <c r="AR127" s="5">
        <f>COUNTIFS(   D4:D451,"Dirección estratégica, creación de empresas, flexibilidad y calidad",K4:K451,"Sí")</f>
        <v>0</v>
      </c>
      <c r="AS127" s="5">
        <f>COUNTIFS(   D4:D451,"Dirección estratégica, creación de empresas, flexibilidad y calidad",L4:L451,"Sí")</f>
        <v>1</v>
      </c>
      <c r="AT127" s="5">
        <f>SUMIFS( E4:E451, D4:D451,"Dirección estratégica, creación de empresas, flexibilidad y calidad")</f>
        <v>2</v>
      </c>
      <c r="AU127" s="5">
        <f>SUMIFS( E4:E451, F4:F451,"Hombre", D4:D451,"Dirección estratégica, creación de empresas, flexibilidad y calidad")</f>
        <v>2</v>
      </c>
      <c r="AV127" s="5">
        <f>SUMIFS( E4:E451, F4:F451,"Mujer", D4:D451,"Dirección estratégica, creación de empresas, flexibilidad y calidad")</f>
        <v>0</v>
      </c>
      <c r="AW127" s="29">
        <f>SUMIFS( E4:E451, A4:A451,"2013", D4:D451,"Dirección estratégica, creación de empresas, flexibilidad y calidad")</f>
        <v>0</v>
      </c>
      <c r="AX127" s="5">
        <f>SUMIFS( E4:E451, A4:A451,"2014", D4:D451,"Dirección estratégica, creación de empresas, flexibilidad y calidad")</f>
        <v>0</v>
      </c>
      <c r="AY127" s="5">
        <f>SUMIFS( E4:E451, A4:A451,"2015", D4:D451,"Dirección estratégica, creación de empresas, flexibilidad y calidad")</f>
        <v>2</v>
      </c>
      <c r="AZ127" s="5">
        <f>SUMIFS( E4:E451, A4:A451,"2016", D4:D451,"Dirección estratégica, creación de empresas, flexibilidad y calidad")</f>
        <v>0</v>
      </c>
      <c r="BA127" s="5">
        <f>SUMIFS( E4:E451, A4:A451,"2017", D4:D451,"Dirección estratégica, creación de empresas, flexibilidad y calidad")</f>
        <v>0</v>
      </c>
      <c r="BB127" s="29">
        <f>SUMIFS( E4:E451, N4:N451,"2014", D4:D451,"Dirección estratégica, creación de empresas, flexibilidad y calidad")</f>
        <v>0</v>
      </c>
      <c r="BC127" s="5">
        <f>SUMIFS( E4:E451, N4:N451,"2015", D4:D451,"Dirección estratégica, creación de empresas, flexibilidad y calidad")</f>
        <v>0</v>
      </c>
      <c r="BD127" s="5">
        <f>SUMIFS( E4:E451, N4:N451,"2016", D4:D451,"Dirección estratégica, creación de empresas, flexibilidad y calidad")</f>
        <v>2</v>
      </c>
      <c r="BE127" s="5">
        <f>SUMIFS( E4:E451, N4:N451,"2017", D4:D451,"Dirección estratégica, creación de empresas, flexibilidad y calidad")</f>
        <v>0</v>
      </c>
      <c r="BF127" s="5">
        <f>SUMIFS( E4:E451, N4:N451,"2018", D4:D451,"Dirección estratégica, creación de empresas, flexibilidad y calidad")</f>
        <v>0</v>
      </c>
      <c r="BG127" s="23">
        <f>AVERAGEIFS( E4:E451, D4:D451,"Dirección estratégica, creación de empresas, flexibilidad y calidad")</f>
        <v>2</v>
      </c>
      <c r="BH127" s="23">
        <v>0</v>
      </c>
      <c r="BI127" s="23">
        <v>0</v>
      </c>
      <c r="BJ127" s="23">
        <f>AVERAGEIFS( E4:E451, A4:A451,"2015", D4:D451,"Dirección estratégica, creación de empresas, flexibilidad y calidad")</f>
        <v>2</v>
      </c>
      <c r="BK127" s="23">
        <v>0</v>
      </c>
      <c r="BL127" s="23">
        <v>0</v>
      </c>
      <c r="BM127" s="23">
        <v>2</v>
      </c>
      <c r="BN127" s="23">
        <v>0</v>
      </c>
      <c r="BO127" s="23">
        <v>0</v>
      </c>
      <c r="BP127" s="23">
        <v>2</v>
      </c>
      <c r="BQ127" s="23">
        <v>0</v>
      </c>
      <c r="BR127" s="23">
        <v>0</v>
      </c>
    </row>
    <row r="128" spans="1:70" ht="15" customHeight="1" x14ac:dyDescent="0.25">
      <c r="A128">
        <v>2016</v>
      </c>
      <c r="B128" t="s">
        <v>4</v>
      </c>
      <c r="C128" t="s">
        <v>31</v>
      </c>
      <c r="D128" t="s">
        <v>32</v>
      </c>
      <c r="E128">
        <v>7</v>
      </c>
      <c r="F128" s="16" t="s">
        <v>215</v>
      </c>
      <c r="G128" t="s">
        <v>233</v>
      </c>
      <c r="H128" t="s">
        <v>233</v>
      </c>
      <c r="I128" t="s">
        <v>233</v>
      </c>
      <c r="J128" t="s">
        <v>234</v>
      </c>
      <c r="K128" t="s">
        <v>233</v>
      </c>
      <c r="L128" t="s">
        <v>234</v>
      </c>
      <c r="M128" s="14">
        <v>42916</v>
      </c>
      <c r="N128" s="14" t="str">
        <f t="shared" si="1"/>
        <v>2017</v>
      </c>
      <c r="O128" s="55" t="s">
        <v>149</v>
      </c>
      <c r="P128" s="56"/>
      <c r="Q128" s="56"/>
      <c r="R128" s="56"/>
      <c r="S128" s="56"/>
      <c r="T128" s="57"/>
      <c r="U128" s="5">
        <f>COUNTIFS(   D4:D451,"Economía pública: recaudación, salud, dependencia, educación y gestión del agua")</f>
        <v>4</v>
      </c>
      <c r="V128" s="5">
        <f>COUNTIFS(   D4:D451,"Economía pública: recaudación, salud, dependencia, educación y gestión del agua",F4:F451,"Hombre")</f>
        <v>3</v>
      </c>
      <c r="W128" s="5">
        <f>COUNTIFS(   D4:D451,"Economía pública: recaudación, salud, dependencia, educación y gestión del agua",F4:F451,"Mujer")</f>
        <v>1</v>
      </c>
      <c r="X128" s="29">
        <f>COUNTIFS(   A4:A451,"2013", D4:D451,"Economía pública: recaudación, salud, dependencia, educación y gestión del agua")</f>
        <v>0</v>
      </c>
      <c r="Y128" s="5">
        <f>COUNTIFS(   A4:A451,"2014", D4:D451,"Economía pública: recaudación, salud, dependencia, educación y gestión del agua")</f>
        <v>0</v>
      </c>
      <c r="Z128" s="5">
        <f>COUNTIFS(   A4:A451,"2015", D4:D451,"Economía pública: recaudación, salud, dependencia, educación y gestión del agua")</f>
        <v>0</v>
      </c>
      <c r="AA128" s="5">
        <f>COUNTIFS(   A4:A451,"2016", D4:D451,"Economía pública: recaudación, salud, dependencia, educación y gestión del agua")</f>
        <v>0</v>
      </c>
      <c r="AB128" s="5">
        <f>COUNTIFS(   A4:A451,"2017", D4:D451,"Economía pública: recaudación, salud, dependencia, educación y gestión del agua")</f>
        <v>4</v>
      </c>
      <c r="AC128" s="29">
        <f>COUNTIFS(   N4:N451,"2014", D4:D451,"Economía pública: recaudación, salud, dependencia, educación y gestión del agua")</f>
        <v>0</v>
      </c>
      <c r="AD128" s="5">
        <f>COUNTIFS(   N4:N451,"2015", D4:D451,"Economía pública: recaudación, salud, dependencia, educación y gestión del agua")</f>
        <v>0</v>
      </c>
      <c r="AE128" s="5">
        <f>COUNTIFS(   N4:N451,"2016", D4:D451,"Economía pública: recaudación, salud, dependencia, educación y gestión del agua")</f>
        <v>0</v>
      </c>
      <c r="AF128" s="5">
        <f>COUNTIFS(   N4:N451,"2017", D4:D451,"Economía pública: recaudación, salud, dependencia, educación y gestión del agua")</f>
        <v>1</v>
      </c>
      <c r="AG128" s="5">
        <f>COUNTIFS(   N4:N451,"2018", D4:D451,"Economía pública: recaudación, salud, dependencia, educación y gestión del agua")</f>
        <v>3</v>
      </c>
      <c r="AH128" s="5">
        <f>COUNTIFS(   D4:D451,"Economía pública: recaudación, salud, dependencia, educación y gestión del agua",G4:G451,"Sí")</f>
        <v>1</v>
      </c>
      <c r="AI128" s="5">
        <f>COUNTIFS(   D4:D451,"Economía pública: recaudación, salud, dependencia, educación y gestión del agua",G4:G451,"No")</f>
        <v>3</v>
      </c>
      <c r="AJ128" s="5">
        <f>SUMIFS( E4:E451, D4:D451,"Economía pública: recaudación, salud, dependencia, educación y gestión del agua",G4:G451,"Sí")</f>
        <v>1</v>
      </c>
      <c r="AK128" s="5">
        <f>SUMIFS( E4:E451, D4:D451,"Economía pública: recaudación, salud, dependencia, educación y gestión del agua",G4:G451,"No")</f>
        <v>16</v>
      </c>
      <c r="AL128" s="5">
        <f>COUNTIFS(   D4:D451,"Economía pública: recaudación, salud, dependencia, educación y gestión del agua",H4:H451,"Sí")</f>
        <v>0</v>
      </c>
      <c r="AM128" s="5">
        <f>COUNTIFS(   D4:D451,"Economía pública: recaudación, salud, dependencia, educación y gestión del agua",I4:I451,"Sí")</f>
        <v>0</v>
      </c>
      <c r="AN128" s="5">
        <f>COUNTIFS(   D4:D451,"Economía pública: recaudación, salud, dependencia, educación y gestión del agua",I4:I451,"No")</f>
        <v>4</v>
      </c>
      <c r="AO128" s="5">
        <f>SUMIFS( E4:E451, D4:D451,"Economía pública: recaudación, salud, dependencia, educación y gestión del agua",I4:I451,"Sí")</f>
        <v>0</v>
      </c>
      <c r="AP128" s="5">
        <f>SUMIFS( E4:E451, D4:D451,"Economía pública: recaudación, salud, dependencia, educación y gestión del agua",I4:I451,"No")</f>
        <v>17</v>
      </c>
      <c r="AQ128" s="5">
        <f>COUNTIFS(   D4:D451,"Economía pública: recaudación, salud, dependencia, educación y gestión del agua",J4:J451,"Sí")</f>
        <v>3</v>
      </c>
      <c r="AR128" s="5">
        <f>COUNTIFS(   D4:D451,"Economía pública: recaudación, salud, dependencia, educación y gestión del agua",K4:K451,"Sí")</f>
        <v>3</v>
      </c>
      <c r="AS128" s="5">
        <f>COUNTIFS(   D4:D451,"Economía pública: recaudación, salud, dependencia, educación y gestión del agua",L4:L451,"Sí")</f>
        <v>3</v>
      </c>
      <c r="AT128" s="5">
        <f>SUMIFS( E4:E451, D4:D451,"Economía pública: recaudación, salud, dependencia, educación y gestión del agua")</f>
        <v>17</v>
      </c>
      <c r="AU128" s="5">
        <f>SUMIFS( E4:E451, F4:F451,"Hombre", D4:D451,"Economía pública: recaudación, salud, dependencia, educación y gestión del agua")</f>
        <v>15</v>
      </c>
      <c r="AV128" s="5">
        <f>SUMIFS( E4:E451, F4:F451,"Mujer", D4:D451,"Economía pública: recaudación, salud, dependencia, educación y gestión del agua")</f>
        <v>2</v>
      </c>
      <c r="AW128" s="29">
        <f>SUMIFS( E4:E451, A4:A451,"2013", D4:D451,"Economía pública: recaudación, salud, dependencia, educación y gestión del agua")</f>
        <v>0</v>
      </c>
      <c r="AX128" s="5">
        <f>SUMIFS( E4:E451, A4:A451,"2014", D4:D451,"Economía pública: recaudación, salud, dependencia, educación y gestión del agua")</f>
        <v>0</v>
      </c>
      <c r="AY128" s="5">
        <f>SUMIFS( E4:E451, A4:A451,"2015", D4:D451,"Economía pública: recaudación, salud, dependencia, educación y gestión del agua")</f>
        <v>0</v>
      </c>
      <c r="AZ128" s="5">
        <f>SUMIFS( E4:E451, A4:A451,"2016", D4:D451,"Economía pública: recaudación, salud, dependencia, educación y gestión del agua")</f>
        <v>0</v>
      </c>
      <c r="BA128" s="5">
        <f>SUMIFS( E4:E451, A4:A451,"2017", D4:D451,"Economía pública: recaudación, salud, dependencia, educación y gestión del agua")</f>
        <v>17</v>
      </c>
      <c r="BB128" s="29">
        <f>SUMIFS( E4:E451, N4:N451,"2014", D4:D451,"Economía pública: recaudación, salud, dependencia, educación y gestión del agua")</f>
        <v>0</v>
      </c>
      <c r="BC128" s="5">
        <f>SUMIFS( E4:E451, N4:N451,"2015", D4:D451,"Economía pública: recaudación, salud, dependencia, educación y gestión del agua")</f>
        <v>0</v>
      </c>
      <c r="BD128" s="5">
        <f>SUMIFS( E4:E451, N4:N451,"2016", D4:D451,"Economía pública: recaudación, salud, dependencia, educación y gestión del agua")</f>
        <v>0</v>
      </c>
      <c r="BE128" s="5">
        <f>SUMIFS( E4:E451, N4:N451,"2017", D4:D451,"Economía pública: recaudación, salud, dependencia, educación y gestión del agua")</f>
        <v>1</v>
      </c>
      <c r="BF128" s="5">
        <f>SUMIFS( E4:E451, N4:N451,"2018", D4:D451,"Economía pública: recaudación, salud, dependencia, educación y gestión del agua")</f>
        <v>16</v>
      </c>
      <c r="BG128" s="23">
        <f>AVERAGEIFS( E4:E451, D4:D451,"Economía pública: recaudación, salud, dependencia, educación y gestión del agua")</f>
        <v>4.25</v>
      </c>
      <c r="BH128" s="23">
        <v>0</v>
      </c>
      <c r="BI128" s="23">
        <v>0</v>
      </c>
      <c r="BJ128" s="23">
        <v>0</v>
      </c>
      <c r="BK128" s="23">
        <v>0</v>
      </c>
      <c r="BL128" s="23">
        <f>AVERAGEIFS( E4:E451, A4:A451,"2017", D4:D451,"Economía pública: recaudación, salud, dependencia, educación y gestión del agua")</f>
        <v>4.25</v>
      </c>
      <c r="BM128" s="23">
        <v>4.25</v>
      </c>
      <c r="BN128" s="23">
        <v>0</v>
      </c>
      <c r="BO128" s="23">
        <v>0</v>
      </c>
      <c r="BP128" s="23">
        <v>0</v>
      </c>
      <c r="BQ128" s="23">
        <v>0</v>
      </c>
      <c r="BR128" s="23">
        <v>4.25</v>
      </c>
    </row>
    <row r="129" spans="1:70" ht="15" customHeight="1" x14ac:dyDescent="0.25">
      <c r="A129">
        <v>2016</v>
      </c>
      <c r="B129" t="s">
        <v>4</v>
      </c>
      <c r="C129" t="s">
        <v>31</v>
      </c>
      <c r="D129" t="s">
        <v>32</v>
      </c>
      <c r="E129" s="17">
        <v>4</v>
      </c>
      <c r="F129" s="16" t="s">
        <v>211</v>
      </c>
      <c r="G129" t="s">
        <v>233</v>
      </c>
      <c r="H129" t="s">
        <v>233</v>
      </c>
      <c r="I129" t="s">
        <v>233</v>
      </c>
      <c r="J129" t="s">
        <v>234</v>
      </c>
      <c r="K129" t="s">
        <v>233</v>
      </c>
      <c r="L129" t="s">
        <v>234</v>
      </c>
      <c r="M129" s="14">
        <v>42898</v>
      </c>
      <c r="N129" s="14" t="str">
        <f t="shared" si="1"/>
        <v>2017</v>
      </c>
      <c r="O129" s="55" t="s">
        <v>151</v>
      </c>
      <c r="P129" s="56"/>
      <c r="Q129" s="56"/>
      <c r="R129" s="56"/>
      <c r="S129" s="56"/>
      <c r="T129" s="57"/>
      <c r="U129" s="5">
        <f>COUNTIFS(   D4:D451,"Sistemas de información económico-financiera para la dirección, gestión y control de entidades públicas y privadas")</f>
        <v>2</v>
      </c>
      <c r="V129" s="5">
        <f>COUNTIFS(   D4:D451,"Sistemas de información económico=CONTAR.SI.CONJUNTOfinanciera para la dirección, gestión y control de entidades públicas y privadas",F4:F451,"Hombre")</f>
        <v>0</v>
      </c>
      <c r="W129" s="5">
        <f>COUNTIFS(   D4:D451,"Sistemas de información económico=CONTAR.SI.CONJUNTOfinanciera para la dirección, gestión y control de entidades públicas y privadas",F4:F451,"Mujer")</f>
        <v>0</v>
      </c>
      <c r="X129" s="29">
        <f>COUNTIFS(   A4:A451,"2013", D4:D451,"Sistemas de información económico-financiera para la dirección, gestión y control de entidades públicas y privadas")</f>
        <v>0</v>
      </c>
      <c r="Y129" s="5">
        <f>COUNTIFS(   A4:A451,"2014", D4:D451,"Sistemas de información económico-financiera para la dirección, gestión y control de entidades públicas y privadas")</f>
        <v>0</v>
      </c>
      <c r="Z129" s="5">
        <f>COUNTIFS(   A4:A451,"2015", D4:D451,"Sistemas de información económico-financiera para la dirección, gestión y control de entidades públicas y privadas")</f>
        <v>0</v>
      </c>
      <c r="AA129" s="5">
        <f>COUNTIFS(   A4:A451,"2016", D4:D451,"Sistemas de información económico-financiera para la dirección, gestión y control de entidades públicas y privadas")</f>
        <v>2</v>
      </c>
      <c r="AB129" s="5">
        <f>COUNTIFS(   A4:A451,"2017", D4:D451,"Sistemas de información económico-financiera para la dirección, gestión y control de entidades públicas y privadas")</f>
        <v>0</v>
      </c>
      <c r="AC129" s="29">
        <f>COUNTIFS(   N4:N451,"2014", D4:D451,"Sistemas de información económico-financiera para la dirección, gestión y control de entidades públicas y privadas")</f>
        <v>0</v>
      </c>
      <c r="AD129" s="5">
        <f>COUNTIFS(   N4:N451,"2015", D4:D451,"Sistemas de información económico-financiera para la dirección, gestión y control de entidades públicas y privadas")</f>
        <v>0</v>
      </c>
      <c r="AE129" s="5">
        <f>COUNTIFS(   N4:N451,"2016", D4:D451,"Sistemas de información económico-financiera para la dirección, gestión y control de entidades públicas y privadas")</f>
        <v>0</v>
      </c>
      <c r="AF129" s="5">
        <f>COUNTIFS(   N4:N451,"2017", D4:D451,"Sistemas de información económico-financiera para la dirección, gestión y control de entidades públicas y privadas")</f>
        <v>2</v>
      </c>
      <c r="AG129" s="5">
        <f>COUNTIFS(   N4:N451,"2018", D4:D451,"Sistemas de información económico-financiera para la dirección, gestión y control de entidades públicas y privadas")</f>
        <v>0</v>
      </c>
      <c r="AH129" s="5">
        <f>COUNTIFS(   D4:D451,"Sistemas de información económico=CONTAR.SI.CONJUNTOfinanciera para la dirección, gestión y control de entidades públicas y privadas",G4:G451,"Sí")</f>
        <v>0</v>
      </c>
      <c r="AI129" s="5">
        <f>COUNTIFS(   D4:D451,"Sistemas de información económico=CONTAR.SI.CONJUNTOfinanciera para la dirección, gestión y control de entidades públicas y privadas",G4:G451,"No")</f>
        <v>0</v>
      </c>
      <c r="AJ129" s="5">
        <f>SUMIFS( E4:E451, D4:D451,"Sistemas de información económico-financiera para la dirección, gestión y control de entidades públicas y privadas",G4:G451,"Sí")</f>
        <v>0</v>
      </c>
      <c r="AK129" s="5">
        <f>SUMIFS( E4:E451, D4:D451,"Sistemas de información económico-financiera para la dirección, gestión y control de entidades públicas y privadas",G4:G451,"No")</f>
        <v>12</v>
      </c>
      <c r="AL129" s="5">
        <f>COUNTIFS(   D4:D451,"Sistemas de información económico=CONTAR.SI.CONJUNTOfinanciera para la dirección, gestión y control de entidades públicas y privadas",H4:H451,"Sí")</f>
        <v>0</v>
      </c>
      <c r="AM129" s="5">
        <f>COUNTIFS(   D4:D451,"Sistemas de información económico=CONTAR.SI.CONJUNTOfinanciera para la dirección, gestión y control de entidades públicas y privadas",I4:I451,"Sí")</f>
        <v>0</v>
      </c>
      <c r="AN129" s="5">
        <f>COUNTIFS(   D4:D451,"Sistemas de información económico=CONTAR.SI.CONJUNTOfinanciera para la dirección, gestión y control de entidades públicas y privadas",I4:I451,"No")</f>
        <v>0</v>
      </c>
      <c r="AO129" s="5">
        <f>SUMIFS( E4:E451, D4:D451,"Sistemas de información económico-financiera para la dirección, gestión y control de entidades públicas y privadas",I4:I451,"Sí")</f>
        <v>12</v>
      </c>
      <c r="AP129" s="5">
        <f>SUMIFS( E4:E451, D4:D451,"Sistemas de información económico-financiera para la dirección, gestión y control de entidades públicas y privadas",I4:I451,"No")</f>
        <v>0</v>
      </c>
      <c r="AQ129" s="5">
        <f>COUNTIFS(   D4:D451,"Sistemas de información económico=CONTAR.SI.CONJUNTOfinanciera para la dirección, gestión y control de entidades públicas y privadas",J4:J451,"Sí")</f>
        <v>0</v>
      </c>
      <c r="AR129" s="5">
        <f>COUNTIFS(   D4:D451,"Sistemas de información económico=CONTAR.SI.CONJUNTOfinanciera para la dirección, gestión y control de entidades públicas y privadas",K4:K451,"Sí")</f>
        <v>0</v>
      </c>
      <c r="AS129" s="5">
        <f>COUNTIFS(   D4:D451,"Sistemas de información económico=CONTAR.SI.CONJUNTOfinanciera para la dirección, gestión y control de entidades públicas y privadas",L4:L451,"Sí")</f>
        <v>0</v>
      </c>
      <c r="AT129" s="5">
        <f>SUMIFS( E4:E451, D4:D451,"Sistemas de información económico-financiera para la dirección, gestión y control de entidades públicas y privadas")</f>
        <v>12</v>
      </c>
      <c r="AU129" s="5">
        <f>SUMIFS( E4:E451, F4:F451,"Hombre", D4:D451,"Sistemas de información económico-financiera para la dirección, gestión y control de entidades públicas y privadas")</f>
        <v>6</v>
      </c>
      <c r="AV129" s="5">
        <f>SUMIFS( E4:E451, F4:F451,"Mujer", D4:D451,"Sistemas de información económico-financiera para la dirección, gestión y control de entidades públicas y privadas")</f>
        <v>6</v>
      </c>
      <c r="AW129" s="29">
        <f>SUMIFS( E4:E451, A4:A451,"2013", D4:D451,"Sistemas de información económico-financiera para la dirección, gestión y control de entidades públicas y privadas")</f>
        <v>0</v>
      </c>
      <c r="AX129" s="5">
        <f>SUMIFS( E4:E451, A4:A451,"2014", D4:D451,"Sistemas de información económico-financiera para la dirección, gestión y control de entidades públicas y privadas")</f>
        <v>0</v>
      </c>
      <c r="AY129" s="5">
        <f>SUMIFS( E4:E451, A4:A451,"2015", D4:D451,"Sistemas de información económico-financiera para la dirección, gestión y control de entidades públicas y privadas")</f>
        <v>0</v>
      </c>
      <c r="AZ129" s="5">
        <f>SUMIFS( E4:E451, A4:A451,"2016", D4:D451,"Sistemas de información económico-financiera para la dirección, gestión y control de entidades públicas y privadas")</f>
        <v>12</v>
      </c>
      <c r="BA129" s="5">
        <f>SUMIFS( E4:E451, A4:A451,"2017", D4:D451,"Sistemas de información económico-financiera para la dirección, gestión y control de entidades públicas y privadas")</f>
        <v>0</v>
      </c>
      <c r="BB129" s="29">
        <f>SUMIFS( E4:E451, N4:N451,"2014", D4:D451,"Sistemas de información económico-financiera para la dirección, gestión y control de entidades públicas y privadas")</f>
        <v>0</v>
      </c>
      <c r="BC129" s="5">
        <f>SUMIFS( E4:E451, N4:N451,"2015", D4:D451,"Sistemas de información económico-financiera para la dirección, gestión y control de entidades públicas y privadas")</f>
        <v>0</v>
      </c>
      <c r="BD129" s="5">
        <f>SUMIFS( E4:E451, N4:N451,"2016", D4:D451,"Sistemas de información económico-financiera para la dirección, gestión y control de entidades públicas y privadas")</f>
        <v>0</v>
      </c>
      <c r="BE129" s="5">
        <f>SUMIFS( E4:E451, N4:N451,"2017", D4:D451,"Sistemas de información económico-financiera para la dirección, gestión y control de entidades públicas y privadas")</f>
        <v>12</v>
      </c>
      <c r="BF129" s="5">
        <f>SUMIFS( E4:E451, N4:N451,"2018", D4:D451,"Sistemas de información económico-financiera para la dirección, gestión y control de entidades públicas y privadas")</f>
        <v>0</v>
      </c>
      <c r="BG129" s="23">
        <f>AVERAGEIFS( E4:E451, D4:D451,"Sistemas de información económico-financiera para la dirección, gestión y control de entidades públicas y privadas")</f>
        <v>6</v>
      </c>
      <c r="BH129" s="23">
        <v>0</v>
      </c>
      <c r="BI129" s="23">
        <v>0</v>
      </c>
      <c r="BJ129" s="23">
        <v>0</v>
      </c>
      <c r="BK129" s="23">
        <f>AVERAGEIFS( E4:E451, A4:A451,"2016", D4:D451,"Sistemas de información económico-financiera para la dirección, gestión y control de entidades públicas y privadas")</f>
        <v>6</v>
      </c>
      <c r="BL129" s="23">
        <v>0</v>
      </c>
      <c r="BM129" s="23">
        <v>6</v>
      </c>
      <c r="BN129" s="23">
        <v>0</v>
      </c>
      <c r="BO129" s="23">
        <v>0</v>
      </c>
      <c r="BP129" s="23">
        <v>0</v>
      </c>
      <c r="BQ129" s="23">
        <v>6</v>
      </c>
      <c r="BR129" s="23">
        <v>0</v>
      </c>
    </row>
    <row r="130" spans="1:70" ht="15" customHeight="1" x14ac:dyDescent="0.25">
      <c r="A130">
        <v>2016</v>
      </c>
      <c r="B130" t="s">
        <v>4</v>
      </c>
      <c r="C130" t="s">
        <v>31</v>
      </c>
      <c r="D130" t="s">
        <v>34</v>
      </c>
      <c r="E130">
        <v>10</v>
      </c>
      <c r="F130" s="16" t="s">
        <v>215</v>
      </c>
      <c r="G130" t="s">
        <v>233</v>
      </c>
      <c r="H130" t="s">
        <v>233</v>
      </c>
      <c r="I130" t="s">
        <v>234</v>
      </c>
      <c r="J130" t="s">
        <v>234</v>
      </c>
      <c r="K130" t="s">
        <v>233</v>
      </c>
      <c r="L130" t="s">
        <v>234</v>
      </c>
      <c r="M130" s="14">
        <v>42783</v>
      </c>
      <c r="N130" s="14" t="str">
        <f t="shared" si="1"/>
        <v>2017</v>
      </c>
      <c r="O130" s="55" t="s">
        <v>150</v>
      </c>
      <c r="P130" s="56"/>
      <c r="Q130" s="56"/>
      <c r="R130" s="56"/>
      <c r="S130" s="56"/>
      <c r="T130" s="57"/>
      <c r="U130" s="5">
        <f>COUNTIFS(   D4:D451,"Técnicas Cuantitativas Avanzadas en el Ámbito Económico y Empresarial")</f>
        <v>1</v>
      </c>
      <c r="V130" s="5">
        <f>COUNTIFS(   D4:D451,"Técnicas Cuantitativas Avanzadas en el Ámbito Económico y Empresarial",F4:F451,"Hombre")</f>
        <v>1</v>
      </c>
      <c r="W130" s="5">
        <f>COUNTIFS(   D4:D451,"Técnicas Cuantitativas Avanzadas en el Ámbito Económico y Empresarial",F4:F451,"Mujer")</f>
        <v>0</v>
      </c>
      <c r="X130" s="29">
        <f>COUNTIFS(   A4:A451,"2013", D4:D451,"Técnicas Cuantitativas Avanzadas en el Ámbito Económico y Empresarial")</f>
        <v>0</v>
      </c>
      <c r="Y130" s="5">
        <f>COUNTIFS(   A4:A451,"2014", D4:D451,"Técnicas Cuantitativas Avanzadas en el Ámbito Económico y Empresarial")</f>
        <v>0</v>
      </c>
      <c r="Z130" s="5">
        <f>COUNTIFS(   A4:A451,"2015", D4:D451,"Técnicas Cuantitativas Avanzadas en el Ámbito Económico y Empresarial")</f>
        <v>0</v>
      </c>
      <c r="AA130" s="5">
        <f>COUNTIFS(   A4:A451,"2016", D4:D451,"Técnicas Cuantitativas Avanzadas en el Ámbito Económico y Empresarial")</f>
        <v>1</v>
      </c>
      <c r="AB130" s="5">
        <f>COUNTIFS(   A4:A451,"2017", D4:D451,"Técnicas Cuantitativas Avanzadas en el Ámbito Económico y Empresarial")</f>
        <v>0</v>
      </c>
      <c r="AC130" s="29">
        <f>COUNTIFS(   N4:N451,"2014", D4:D451,"Técnicas Cuantitativas Avanzadas en el Ámbito Económico y Empresarial")</f>
        <v>0</v>
      </c>
      <c r="AD130" s="5">
        <f>COUNTIFS(   N4:N451,"2015", D4:D451,"Técnicas Cuantitativas Avanzadas en el Ámbito Económico y Empresarial")</f>
        <v>0</v>
      </c>
      <c r="AE130" s="5">
        <f>COUNTIFS(   N4:N451,"2016", D4:D451,"Técnicas Cuantitativas Avanzadas en el Ámbito Económico y Empresarial")</f>
        <v>0</v>
      </c>
      <c r="AF130" s="5">
        <f>COUNTIFS(   N4:N451,"2017", D4:D451,"Técnicas Cuantitativas Avanzadas en el Ámbito Económico y Empresarial")</f>
        <v>1</v>
      </c>
      <c r="AG130" s="5">
        <f>COUNTIFS(   N4:N451,"2018", D4:D451,"Técnicas Cuantitativas Avanzadas en el Ámbito Económico y Empresarial")</f>
        <v>0</v>
      </c>
      <c r="AH130" s="5">
        <f>COUNTIFS(   D4:D451,"Técnicas Cuantitativas Avanzadas en el Ámbito Económico y Empresarial",G4:G451,"Sí")</f>
        <v>0</v>
      </c>
      <c r="AI130" s="5">
        <f>COUNTIFS(   D4:D451,"Técnicas Cuantitativas Avanzadas en el Ámbito Económico y Empresarial",G4:G451,"No")</f>
        <v>1</v>
      </c>
      <c r="AJ130" s="5">
        <f>SUMIFS( E4:E451, D4:D451,"Técnicas Cuantitativas Avanzadas en el Ámbito Económico y Empresarial",G4:G451,"Sí")</f>
        <v>0</v>
      </c>
      <c r="AK130" s="5">
        <f>SUMIFS( E4:E451, D4:D451,"Técnicas Cuantitativas Avanzadas en el Ámbito Económico y Empresarial",G4:G451,"No")</f>
        <v>2</v>
      </c>
      <c r="AL130" s="5">
        <f>COUNTIFS(   D4:D451,"Técnicas Cuantitativas Avanzadas en el Ámbito Económico y Empresarial",H4:H451,"Sí")</f>
        <v>1</v>
      </c>
      <c r="AM130" s="5">
        <f>COUNTIFS(   D4:D451,"Técnicas Cuantitativas Avanzadas en el Ámbito Económico y Empresarial",I4:I451,"Sí")</f>
        <v>1</v>
      </c>
      <c r="AN130" s="5">
        <f>COUNTIFS(   D4:D451,"Técnicas Cuantitativas Avanzadas en el Ámbito Económico y Empresarial",I4:I451,"No")</f>
        <v>0</v>
      </c>
      <c r="AO130" s="5">
        <f>SUMIFS( E4:E451, D4:D451,"Técnicas Cuantitativas Avanzadas en el Ámbito Económico y Empresarial",I4:I451,"Sí")</f>
        <v>2</v>
      </c>
      <c r="AP130" s="5">
        <f>SUMIFS( E4:E451, D4:D451,"Técnicas Cuantitativas Avanzadas en el Ámbito Económico y Empresarial",I4:I451,"No")</f>
        <v>0</v>
      </c>
      <c r="AQ130" s="5">
        <f>COUNTIFS(   D4:D451,"Técnicas Cuantitativas Avanzadas en el Ámbito Económico y Empresarial",J4:J451,"Sí")</f>
        <v>1</v>
      </c>
      <c r="AR130" s="5">
        <f>COUNTIFS(   D4:D451,"Técnicas Cuantitativas Avanzadas en el Ámbito Económico y Empresarial",K4:K451,"Sí")</f>
        <v>0</v>
      </c>
      <c r="AS130" s="5">
        <f>COUNTIFS(   D4:D451,"Técnicas Cuantitativas Avanzadas en el Ámbito Económico y Empresarial",L4:L451,"Sí")</f>
        <v>1</v>
      </c>
      <c r="AT130" s="5">
        <f>SUMIFS( E4:E451, D4:D451,"Técnicas Cuantitativas Avanzadas en el Ámbito Económico y Empresarial")</f>
        <v>2</v>
      </c>
      <c r="AU130" s="5">
        <f>SUMIFS( E4:E451, F4:F451,"Hombre", D4:D451,"Técnicas Cuantitativas Avanzadas en el Ámbito Económico y Empresarial")</f>
        <v>2</v>
      </c>
      <c r="AV130" s="5">
        <f>SUMIFS( E4:E451, F4:F451,"Mujer", D4:D451,"Técnicas Cuantitativas Avanzadas en el Ámbito Económico y Empresarial")</f>
        <v>0</v>
      </c>
      <c r="AW130" s="29">
        <f>SUMIFS( E4:E451, A4:A451,"2013", D4:D451,"Técnicas Cuantitativas Avanzadas en el Ámbito Económico y Empresarial")</f>
        <v>0</v>
      </c>
      <c r="AX130" s="5">
        <f>SUMIFS( E4:E451, A4:A451,"2014", D4:D451,"Técnicas Cuantitativas Avanzadas en el Ámbito Económico y Empresarial")</f>
        <v>0</v>
      </c>
      <c r="AY130" s="5">
        <f>SUMIFS( E4:E451, A4:A451,"2015", D4:D451,"Técnicas Cuantitativas Avanzadas en el Ámbito Económico y Empresarial")</f>
        <v>0</v>
      </c>
      <c r="AZ130" s="5">
        <f>SUMIFS( E4:E451, A4:A451,"2016", D4:D451,"Técnicas Cuantitativas Avanzadas en el Ámbito Económico y Empresarial")</f>
        <v>2</v>
      </c>
      <c r="BA130" s="5">
        <f>SUMIFS( E4:E451, A4:A451,"2017", D4:D451,"Técnicas Cuantitativas Avanzadas en el Ámbito Económico y Empresarial")</f>
        <v>0</v>
      </c>
      <c r="BB130" s="29">
        <f>SUMIFS( E4:E451, N4:N451,"2014", D4:D451,"Técnicas Cuantitativas Avanzadas en el Ámbito Económico y Empresarial")</f>
        <v>0</v>
      </c>
      <c r="BC130" s="5">
        <f>SUMIFS( E4:E451, N4:N451,"2015", D4:D451,"Técnicas Cuantitativas Avanzadas en el Ámbito Económico y Empresarial")</f>
        <v>0</v>
      </c>
      <c r="BD130" s="5">
        <f>SUMIFS( E4:E451, N4:N451,"2016", D4:D451,"Técnicas Cuantitativas Avanzadas en el Ámbito Económico y Empresarial")</f>
        <v>0</v>
      </c>
      <c r="BE130" s="5">
        <f>SUMIFS( E4:E451, N4:N451,"2017", D4:D451,"Técnicas Cuantitativas Avanzadas en el Ámbito Económico y Empresarial")</f>
        <v>2</v>
      </c>
      <c r="BF130" s="5">
        <f>SUMIFS( E4:E451, N4:N451,"2018", D4:D451,"Técnicas Cuantitativas Avanzadas en el Ámbito Económico y Empresarial")</f>
        <v>0</v>
      </c>
      <c r="BG130" s="23">
        <f>AVERAGEIFS( E4:E451, D4:D451,"Técnicas Cuantitativas Avanzadas en el Ámbito Económico y Empresarial")</f>
        <v>2</v>
      </c>
      <c r="BH130" s="23">
        <v>0</v>
      </c>
      <c r="BI130" s="23">
        <v>0</v>
      </c>
      <c r="BJ130" s="23">
        <v>0</v>
      </c>
      <c r="BK130" s="23">
        <f>AVERAGEIFS( E4:E451, A4:A451,"2016", D4:D451,"Técnicas Cuantitativas Avanzadas en el Ámbito Económico y Empresarial")</f>
        <v>2</v>
      </c>
      <c r="BL130" s="23">
        <v>0</v>
      </c>
      <c r="BM130" s="23">
        <v>2</v>
      </c>
      <c r="BN130" s="23">
        <v>0</v>
      </c>
      <c r="BO130" s="23">
        <v>0</v>
      </c>
      <c r="BP130" s="23">
        <v>0</v>
      </c>
      <c r="BQ130" s="23">
        <v>2</v>
      </c>
      <c r="BR130" s="23">
        <v>0</v>
      </c>
    </row>
    <row r="131" spans="1:70" ht="15" customHeight="1" x14ac:dyDescent="0.25">
      <c r="A131">
        <v>2016</v>
      </c>
      <c r="B131" t="s">
        <v>4</v>
      </c>
      <c r="C131" t="s">
        <v>31</v>
      </c>
      <c r="D131" t="s">
        <v>32</v>
      </c>
      <c r="E131">
        <v>2</v>
      </c>
      <c r="F131" s="16" t="s">
        <v>211</v>
      </c>
      <c r="G131" t="s">
        <v>233</v>
      </c>
      <c r="H131" t="s">
        <v>233</v>
      </c>
      <c r="I131" t="s">
        <v>234</v>
      </c>
      <c r="J131" t="s">
        <v>234</v>
      </c>
      <c r="K131" t="s">
        <v>233</v>
      </c>
      <c r="L131" t="s">
        <v>234</v>
      </c>
      <c r="M131" s="14">
        <v>42685</v>
      </c>
      <c r="N131" s="14" t="str">
        <f t="shared" si="1"/>
        <v>2016</v>
      </c>
      <c r="O131" s="6" t="s">
        <v>71</v>
      </c>
      <c r="P131" s="12"/>
      <c r="Q131" s="12"/>
      <c r="R131" s="12"/>
      <c r="S131" s="12"/>
      <c r="T131" s="13"/>
      <c r="U131" s="4">
        <f>COUNTIFS(   C4:C451,"Ciencias Jurídicas")</f>
        <v>18</v>
      </c>
      <c r="V131" s="4">
        <f>COUNTIFS(   C4:C451,"Ciencias Jurídicas",F4:F451,"Hombre")</f>
        <v>11</v>
      </c>
      <c r="W131" s="4">
        <f>COUNTIFS(   C4:C451,"Ciencias Jurídicas",F4:F451,"Mujer")</f>
        <v>7</v>
      </c>
      <c r="X131" s="28">
        <f>COUNTIFS(   A4:A451,"2013", C4:C451,"Ciencias Jurídicas")</f>
        <v>0</v>
      </c>
      <c r="Y131" s="4">
        <f>COUNTIFS(   A4:A451,"2014", C4:C451,"Ciencias Jurídicas")</f>
        <v>0</v>
      </c>
      <c r="Z131" s="4">
        <f>COUNTIFS(   A4:A451,"2015", C4:C451,"Ciencias Jurídicas")</f>
        <v>1</v>
      </c>
      <c r="AA131" s="4">
        <f>COUNTIFS(   A4:A451,"2016", C4:C451,"Ciencias Jurídicas")</f>
        <v>11</v>
      </c>
      <c r="AB131" s="4">
        <f>COUNTIFS(   A4:A451,"2017", C4:C451,"Ciencias Jurídicas")</f>
        <v>6</v>
      </c>
      <c r="AC131" s="28">
        <f>COUNTIFS(   N4:N451,"2014", C4:C451,"Ciencias Jurídicas")</f>
        <v>0</v>
      </c>
      <c r="AD131" s="4">
        <f>COUNTIFS(   N4:N451,"2015", C4:C451,"Ciencias Jurídicas")</f>
        <v>0</v>
      </c>
      <c r="AE131" s="4">
        <f>COUNTIFS(   N4:N451,"2016", C4:C451,"Ciencias Jurídicas")</f>
        <v>2</v>
      </c>
      <c r="AF131" s="4">
        <f>COUNTIFS(   N4:N451,"2017", C4:C451,"Ciencias Jurídicas")</f>
        <v>15</v>
      </c>
      <c r="AG131" s="4">
        <f>COUNTIFS(   N4:N451,"2018", C4:C451,"Ciencias Jurídicas")</f>
        <v>1</v>
      </c>
      <c r="AH131" s="4">
        <f>COUNTIFS(   C4:C451,"Ciencias Jurídicas",G4:G451,"Sí")</f>
        <v>0</v>
      </c>
      <c r="AI131" s="4">
        <f>COUNTIFS(   C4:C451,"Ciencias Jurídicas",G4:G451,"No")</f>
        <v>18</v>
      </c>
      <c r="AJ131" s="4">
        <f>SUMIFS( E4:E451, C4:C451,"Ciencias Jurídicas",G4:G451,"Sí")</f>
        <v>0</v>
      </c>
      <c r="AK131" s="4">
        <f>SUMIFS( E4:E451, C4:C451,"Ciencias Jurídicas",G4:G451,"No")</f>
        <v>104</v>
      </c>
      <c r="AL131" s="4">
        <f>COUNTIFS(   C4:C451,"Ciencias Jurídicas",H4:H451,"Sí")</f>
        <v>3</v>
      </c>
      <c r="AM131" s="4">
        <f>COUNTIFS(   C4:C451,"Ciencias Jurídicas",I4:I451,"Sí")</f>
        <v>4</v>
      </c>
      <c r="AN131" s="4">
        <f>COUNTIFS(   C4:C451,"Ciencias Jurídicas",I4:I451,"No")</f>
        <v>14</v>
      </c>
      <c r="AO131" s="4">
        <f>SUMIFS( E4:E451, C4:C451,"Ciencias Jurídicas",I4:I451,"Sí")</f>
        <v>26</v>
      </c>
      <c r="AP131" s="4">
        <f>SUMIFS( E4:E451, C4:C451,"Ciencias Jurídicas",I4:I451,"No")</f>
        <v>78</v>
      </c>
      <c r="AQ131" s="4">
        <f>COUNTIFS(   C4:C451,"Ciencias Jurídicas",J4:J451,"Sí")</f>
        <v>16</v>
      </c>
      <c r="AR131" s="4">
        <f>COUNTIFS(   C4:C451,"Ciencias Jurídicas",K4:K451,"Sí")</f>
        <v>8</v>
      </c>
      <c r="AS131" s="4">
        <f>COUNTIFS(   C4:C451,"Ciencias Jurídicas",L4:L451,"Sí")</f>
        <v>16</v>
      </c>
      <c r="AT131" s="4">
        <f>SUMIFS( E4:E451, C4:C451,"Ciencias Jurídicas")</f>
        <v>104</v>
      </c>
      <c r="AU131" s="4">
        <f>SUMIFS( E4:E451, F4:F451,"Hombre", C4:C451,"Ciencias Jurídicas")</f>
        <v>74</v>
      </c>
      <c r="AV131" s="4">
        <f>SUMIFS( E4:E451, F4:F451,"Mujer", C4:C451,"Ciencias Jurídicas")</f>
        <v>30</v>
      </c>
      <c r="AW131" s="28">
        <f>SUMIFS( E4:E451, A4:A451,"2013", C4:C451,"Ciencias Jurídicas")</f>
        <v>0</v>
      </c>
      <c r="AX131" s="4">
        <f>SUMIFS( E4:E451, A4:A451,"2014", C4:C451,"Ciencias Jurídicas")</f>
        <v>0</v>
      </c>
      <c r="AY131" s="4">
        <f>SUMIFS( E4:E451, A4:A451,"2015", C4:C451,"Ciencias Jurídicas")</f>
        <v>1</v>
      </c>
      <c r="AZ131" s="4">
        <f>SUMIFS( E4:E451, A4:A451,"2016", C4:C451,"Ciencias Jurídicas")</f>
        <v>59</v>
      </c>
      <c r="BA131" s="4">
        <f>SUMIFS( E4:E451, A4:A451,"2017", C4:C451,"Ciencias Jurídicas")</f>
        <v>44</v>
      </c>
      <c r="BB131" s="28">
        <f>SUMIFS( E4:E451, N4:N451,"2014", C4:C451,"Ciencias Jurídicas")</f>
        <v>0</v>
      </c>
      <c r="BC131" s="4">
        <f>SUMIFS( E4:E451, N4:N451,"2015", C4:C451,"Ciencias Jurídicas")</f>
        <v>0</v>
      </c>
      <c r="BD131" s="4">
        <f>SUMIFS( E4:E451, N4:N451,"2016", C4:C451,"Ciencias Jurídicas")</f>
        <v>18</v>
      </c>
      <c r="BE131" s="4">
        <f>SUMIFS( E4:E451, N4:N451,"2017", C4:C451,"Ciencias Jurídicas")</f>
        <v>86</v>
      </c>
      <c r="BF131" s="4">
        <f>SUMIFS( E4:E451, N4:N451,"2018", C4:C451,"Ciencias Jurídicas")</f>
        <v>0</v>
      </c>
      <c r="BG131" s="22">
        <f>AVERAGEIFS( E4:E451, C4:C451,"Ciencias Jurídicas")</f>
        <v>5.7777777777777777</v>
      </c>
      <c r="BH131" s="22">
        <v>0</v>
      </c>
      <c r="BI131" s="22">
        <v>0</v>
      </c>
      <c r="BJ131" s="22">
        <f>AVERAGEIFS( E4:E451, A4:A451,"2015", C4:C451,"Ciencias Jurídicas")</f>
        <v>1</v>
      </c>
      <c r="BK131" s="22">
        <f>AVERAGEIFS( E4:E451, A4:A451,"2016", C4:C451,"Ciencias Jurídicas")</f>
        <v>5.3636363636363633</v>
      </c>
      <c r="BL131" s="22">
        <f>AVERAGEIFS( E4:E451, A4:A451,"2017", C4:C451,"Ciencias Jurídicas")</f>
        <v>7.333333333333333</v>
      </c>
      <c r="BM131" s="22">
        <f>AVERAGE(AT132:AT139)</f>
        <v>13</v>
      </c>
      <c r="BN131" s="22">
        <v>0</v>
      </c>
      <c r="BO131" s="22">
        <v>0</v>
      </c>
      <c r="BP131" s="22">
        <f>AVERAGE(AY132:AY139)</f>
        <v>0.125</v>
      </c>
      <c r="BQ131" s="22">
        <f>AVERAGE(AZ132:AZ139)</f>
        <v>7.375</v>
      </c>
      <c r="BR131" s="22">
        <f>AVERAGE(BA132:BA139)</f>
        <v>5.5</v>
      </c>
    </row>
    <row r="132" spans="1:70" ht="15" customHeight="1" x14ac:dyDescent="0.25">
      <c r="A132">
        <v>2016</v>
      </c>
      <c r="B132" t="s">
        <v>4</v>
      </c>
      <c r="C132" t="s">
        <v>31</v>
      </c>
      <c r="D132" t="s">
        <v>33</v>
      </c>
      <c r="E132">
        <v>3</v>
      </c>
      <c r="F132" s="16" t="s">
        <v>215</v>
      </c>
      <c r="G132" t="s">
        <v>233</v>
      </c>
      <c r="H132" t="s">
        <v>233</v>
      </c>
      <c r="I132" t="s">
        <v>233</v>
      </c>
      <c r="J132" t="s">
        <v>234</v>
      </c>
      <c r="K132" t="s">
        <v>234</v>
      </c>
      <c r="L132" t="s">
        <v>234</v>
      </c>
      <c r="M132" s="14">
        <v>42685</v>
      </c>
      <c r="N132" s="14" t="str">
        <f t="shared" si="1"/>
        <v>2016</v>
      </c>
      <c r="O132" s="55" t="s">
        <v>157</v>
      </c>
      <c r="P132" s="56"/>
      <c r="Q132" s="56"/>
      <c r="R132" s="56"/>
      <c r="S132" s="56"/>
      <c r="T132" s="57"/>
      <c r="U132" s="5">
        <f>COUNTIFS(   D4:D451,"Criminalidad y Derecho")</f>
        <v>2</v>
      </c>
      <c r="V132" s="5">
        <f>COUNTIFS(   D4:D451,"Criminalidad y Derecho",F4:F451,"Hombre")</f>
        <v>1</v>
      </c>
      <c r="W132" s="5">
        <f>COUNTIFS(   D4:D451,"Criminalidad y Derecho",F4:F451,"Mujer")</f>
        <v>1</v>
      </c>
      <c r="X132" s="29">
        <f>COUNTIFS(   A4:A451,"2013", D4:D451,"Criminalidad y Derecho")</f>
        <v>0</v>
      </c>
      <c r="Y132" s="5">
        <f>COUNTIFS(   A4:A451,"2014", D4:D451,"Criminalidad y Derecho")</f>
        <v>0</v>
      </c>
      <c r="Z132" s="5">
        <f>COUNTIFS(   A4:A451,"2015", D4:D451,"Criminalidad y Derecho")</f>
        <v>0</v>
      </c>
      <c r="AA132" s="5">
        <f>COUNTIFS(   A4:A451,"2016", D4:D451,"Criminalidad y Derecho")</f>
        <v>1</v>
      </c>
      <c r="AB132" s="5">
        <f>COUNTIFS(   A4:A451,"2017", D4:D451,"Criminalidad y Derecho")</f>
        <v>1</v>
      </c>
      <c r="AC132" s="29">
        <f>COUNTIFS(   N4:N451,"2014", D4:D451,"Criminalidad y Derecho")</f>
        <v>0</v>
      </c>
      <c r="AD132" s="5">
        <f>COUNTIFS(   N4:N451,"2015", D4:D451,"Criminalidad y Derecho")</f>
        <v>0</v>
      </c>
      <c r="AE132" s="5">
        <f>COUNTIFS(   N4:N451,"2016", D4:D451,"Criminalidad y Derecho")</f>
        <v>0</v>
      </c>
      <c r="AF132" s="5">
        <f>COUNTIFS(   N4:N451,"2017", D4:D451,"Criminalidad y Derecho")</f>
        <v>2</v>
      </c>
      <c r="AG132" s="5">
        <f>COUNTIFS(   N4:N451,"2018", D4:D451,"Criminalidad y Derecho")</f>
        <v>0</v>
      </c>
      <c r="AH132" s="5">
        <f>COUNTIFS(   D4:D451,"Criminalidad y Derecho",G4:G451,"Sí")</f>
        <v>0</v>
      </c>
      <c r="AI132" s="5">
        <f>COUNTIFS(   D4:D451,"Criminalidad y Derecho",G4:G451,"No")</f>
        <v>2</v>
      </c>
      <c r="AJ132" s="5">
        <f>SUMIFS( E4:E451, D4:D451,"Criminalidad y Derecho",G4:G451,"Sí")</f>
        <v>0</v>
      </c>
      <c r="AK132" s="5">
        <f>SUMIFS( E4:E451, D4:D451,"Criminalidad y Derecho",G4:G451,"No")</f>
        <v>8</v>
      </c>
      <c r="AL132" s="5">
        <f>COUNTIFS(   D4:D451,"Criminalidad y Derecho",H4:H451,"Sí")</f>
        <v>0</v>
      </c>
      <c r="AM132" s="5">
        <f>COUNTIFS(   D4:D451,"Criminalidad y Derecho",I4:I451,"Sí")</f>
        <v>1</v>
      </c>
      <c r="AN132" s="5">
        <f>COUNTIFS(   D4:D451,"Criminalidad y Derecho",I4:I451,"No")</f>
        <v>1</v>
      </c>
      <c r="AO132" s="5">
        <f>SUMIFS( E4:E451, D4:D451,"Criminalidad y Derecho",I4:I451,"Sí")</f>
        <v>7</v>
      </c>
      <c r="AP132" s="5">
        <f>SUMIFS( E4:E451, D4:D451,"Criminalidad y Derecho",I4:I451,"No")</f>
        <v>1</v>
      </c>
      <c r="AQ132" s="5">
        <f>COUNTIFS(   D4:D451,"Criminalidad y Derecho",J4:J451,"Sí")</f>
        <v>2</v>
      </c>
      <c r="AR132" s="5">
        <f>COUNTIFS(   D4:D451,"Criminalidad y Derecho",K4:K451,"Sí")</f>
        <v>1</v>
      </c>
      <c r="AS132" s="5">
        <f>COUNTIFS(   D4:D451,"Criminalidad y Derecho",L4:L451,"Sí")</f>
        <v>2</v>
      </c>
      <c r="AT132" s="5">
        <f>SUMIFS( E4:E451, D4:D451,"Criminalidad y Derecho")</f>
        <v>8</v>
      </c>
      <c r="AU132" s="5">
        <f>SUMIFS( E4:E451, F4:F451,"Hombre", D4:D451,"Criminalidad y Derecho")</f>
        <v>1</v>
      </c>
      <c r="AV132" s="5">
        <f>SUMIFS( E4:E451, F4:F451,"Mujer", D4:D451,"Criminalidad y Derecho")</f>
        <v>7</v>
      </c>
      <c r="AW132" s="29">
        <f>SUMIFS( E4:E451, A4:A451,"2013", D4:D451,"Criminalidad y Derecho")</f>
        <v>0</v>
      </c>
      <c r="AX132" s="5">
        <f>SUMIFS( E4:E451, A4:A451,"2014", D4:D451,"Criminalidad y Derecho")</f>
        <v>0</v>
      </c>
      <c r="AY132" s="5">
        <f>SUMIFS( E4:E451, A4:A451,"2015", D4:D451,"Criminalidad y Derecho")</f>
        <v>0</v>
      </c>
      <c r="AZ132" s="5">
        <f>SUMIFS( E4:E451, A4:A451,"2016", D4:D451,"Criminalidad y Derecho")</f>
        <v>1</v>
      </c>
      <c r="BA132" s="5">
        <f>SUMIFS( E4:E451, A4:A451,"2017", D4:D451,"Criminalidad y Derecho")</f>
        <v>7</v>
      </c>
      <c r="BB132" s="29">
        <f>SUMIFS( E4:E451, N4:N451,"2014", D4:D451,"Criminalidad y Derecho")</f>
        <v>0</v>
      </c>
      <c r="BC132" s="5">
        <f>SUMIFS( E4:E451, N4:N451,"2015", D4:D451,"Criminalidad y Derecho")</f>
        <v>0</v>
      </c>
      <c r="BD132" s="5">
        <f>SUMIFS( E4:E451, N4:N451,"2016", D4:D451,"Criminalidad y Derecho")</f>
        <v>0</v>
      </c>
      <c r="BE132" s="5">
        <f>SUMIFS( E4:E451, N4:N451,"2017", D4:D451,"Criminalidad y Derecho")</f>
        <v>8</v>
      </c>
      <c r="BF132" s="5">
        <f>SUMIFS( E4:E451, N4:N451,"2018", D4:D451,"Criminalidad y Derecho")</f>
        <v>0</v>
      </c>
      <c r="BG132" s="23">
        <f>AVERAGEIFS( E4:E451, D4:D451,"Criminalidad y Derecho")</f>
        <v>4</v>
      </c>
      <c r="BH132" s="23">
        <v>0</v>
      </c>
      <c r="BI132" s="23">
        <v>0</v>
      </c>
      <c r="BJ132" s="23">
        <v>0</v>
      </c>
      <c r="BK132" s="23">
        <f>AVERAGEIFS( E4:E451, A4:A451,"2016", D4:D451,"Criminalidad y Derecho")</f>
        <v>1</v>
      </c>
      <c r="BL132" s="23">
        <f>AVERAGEIFS( E4:E451, A4:A451,"2017", D4:D451,"Criminalidad y Derecho")</f>
        <v>7</v>
      </c>
      <c r="BM132" s="23">
        <v>4</v>
      </c>
      <c r="BN132" s="23">
        <v>0</v>
      </c>
      <c r="BO132" s="23">
        <v>0</v>
      </c>
      <c r="BP132" s="23">
        <v>0</v>
      </c>
      <c r="BQ132" s="23">
        <v>1</v>
      </c>
      <c r="BR132" s="23">
        <v>7</v>
      </c>
    </row>
    <row r="133" spans="1:70" ht="15" customHeight="1" x14ac:dyDescent="0.25">
      <c r="A133">
        <v>2015</v>
      </c>
      <c r="B133" t="s">
        <v>4</v>
      </c>
      <c r="C133" t="s">
        <v>31</v>
      </c>
      <c r="D133" t="s">
        <v>32</v>
      </c>
      <c r="E133">
        <v>6</v>
      </c>
      <c r="F133" s="16" t="s">
        <v>211</v>
      </c>
      <c r="G133" t="s">
        <v>233</v>
      </c>
      <c r="H133" t="s">
        <v>233</v>
      </c>
      <c r="I133" t="s">
        <v>234</v>
      </c>
      <c r="J133" t="s">
        <v>234</v>
      </c>
      <c r="K133" t="s">
        <v>233</v>
      </c>
      <c r="L133" t="s">
        <v>234</v>
      </c>
      <c r="M133" s="14">
        <v>42578</v>
      </c>
      <c r="N133" s="14" t="str">
        <f t="shared" ref="N133:N196" si="2">TEXT(M133,"aaaa")</f>
        <v>2016</v>
      </c>
      <c r="O133" s="55" t="s">
        <v>155</v>
      </c>
      <c r="P133" s="56"/>
      <c r="Q133" s="56"/>
      <c r="R133" s="56"/>
      <c r="S133" s="56"/>
      <c r="T133" s="57"/>
      <c r="U133" s="5">
        <f>COUNTIFS(   D4:D451,"Derecho de la protección social pública y políticas sociales del Estado del Bienestar")</f>
        <v>2</v>
      </c>
      <c r="V133" s="5">
        <f>COUNTIFS(   D4:D451,"Derecho de la protección social pública y políticas sociales del Estado del Bienestar",F4:F451,"Hombre")</f>
        <v>0</v>
      </c>
      <c r="W133" s="5">
        <f>COUNTIFS(   D4:D451,"Derecho de la protección social pública y políticas sociales del Estado del Bienestar",F4:F451,"Mujer")</f>
        <v>2</v>
      </c>
      <c r="X133" s="29">
        <f>COUNTIFS(   A4:A451,"2013", D4:D451,"Derecho de la protección social pública y políticas sociales del Estado del Bienestar")</f>
        <v>0</v>
      </c>
      <c r="Y133" s="5">
        <f>COUNTIFS(   A4:A451,"2014", D4:D451,"Derecho de la protección social pública y políticas sociales del Estado del Bienestar")</f>
        <v>0</v>
      </c>
      <c r="Z133" s="5">
        <f>COUNTIFS(   A4:A451,"2015", D4:D451,"Derecho de la protección social pública y políticas sociales del Estado del Bienestar")</f>
        <v>0</v>
      </c>
      <c r="AA133" s="5">
        <f>COUNTIFS(   A4:A451,"2016", D4:D451,"Derecho de la protección social pública y políticas sociales del Estado del Bienestar")</f>
        <v>1</v>
      </c>
      <c r="AB133" s="5">
        <f>COUNTIFS(   A4:A451,"2017", D4:D451,"Derecho de la protección social pública y políticas sociales del Estado del Bienestar")</f>
        <v>1</v>
      </c>
      <c r="AC133" s="29">
        <f>COUNTIFS(   N4:N451,"2014", D4:D451,"Derecho de la protección social pública y políticas sociales del Estado del Bienestar")</f>
        <v>0</v>
      </c>
      <c r="AD133" s="5">
        <f>COUNTIFS(   N4:N451,"2015", D4:D451,"Derecho de la protección social pública y políticas sociales del Estado del Bienestar")</f>
        <v>0</v>
      </c>
      <c r="AE133" s="5">
        <f>COUNTIFS(   N4:N451,"2016", D4:D451,"Derecho de la protección social pública y políticas sociales del Estado del Bienestar")</f>
        <v>0</v>
      </c>
      <c r="AF133" s="5">
        <f>COUNTIFS(   N4:N451,"2017", D4:D451,"Derecho de la protección social pública y políticas sociales del Estado del Bienestar")</f>
        <v>1</v>
      </c>
      <c r="AG133" s="5">
        <f>COUNTIFS(   N4:N451,"2018", D4:D451,"Derecho de la protección social pública y políticas sociales del Estado del Bienestar")</f>
        <v>1</v>
      </c>
      <c r="AH133" s="5">
        <f>COUNTIFS(   D4:D451,"Derecho de la protección social pública y políticas sociales del Estado del Bienestar",G4:G451,"Sí")</f>
        <v>0</v>
      </c>
      <c r="AI133" s="5">
        <f>COUNTIFS(   D4:D451,"Derecho de la protección social pública y políticas sociales del Estado del Bienestar",G4:G451,"No")</f>
        <v>2</v>
      </c>
      <c r="AJ133" s="5">
        <f>SUMIFS( E4:E451, D4:D451,"Derecho de la protección social pública y políticas sociales del Estado del Bienestar",G4:G451,"Sí")</f>
        <v>0</v>
      </c>
      <c r="AK133" s="5">
        <f>SUMIFS( E4:E451, D4:D451,"Derecho de la protección social pública y políticas sociales del Estado del Bienestar",G4:G451,"No")</f>
        <v>9</v>
      </c>
      <c r="AL133" s="5">
        <f>COUNTIFS(   D4:D451,"Derecho de la protección social pública y políticas sociales del Estado del Bienestar",H4:H451,"Sí")</f>
        <v>1</v>
      </c>
      <c r="AM133" s="5">
        <f>COUNTIFS(   D4:D451,"Derecho de la protección social pública y políticas sociales del Estado del Bienestar",I4:I451,"Sí")</f>
        <v>0</v>
      </c>
      <c r="AN133" s="5">
        <f>COUNTIFS(   D4:D451,"Derecho de la protección social pública y políticas sociales del Estado del Bienestar",I4:I451,"No")</f>
        <v>2</v>
      </c>
      <c r="AO133" s="5">
        <f>SUMIFS( E4:E451, D4:D451,"Derecho de la protección social pública y políticas sociales del Estado del Bienestar",I4:I451,"Sí")</f>
        <v>0</v>
      </c>
      <c r="AP133" s="5">
        <f>SUMIFS( E4:E451, D4:D451,"Derecho de la protección social pública y políticas sociales del Estado del Bienestar",I4:I451,"No")</f>
        <v>9</v>
      </c>
      <c r="AQ133" s="5">
        <f>COUNTIFS(   D4:D451,"Derecho de la protección social pública y políticas sociales del Estado del Bienestar",J4:J451,"Sí")</f>
        <v>1</v>
      </c>
      <c r="AR133" s="5">
        <f>COUNTIFS(   D4:D451,"Derecho de la protección social pública y políticas sociales del Estado del Bienestar",K4:K451,"Sí")</f>
        <v>1</v>
      </c>
      <c r="AS133" s="5">
        <f>COUNTIFS(   D4:D451,"Derecho de la protección social pública y políticas sociales del Estado del Bienestar",L4:L451,"Sí")</f>
        <v>1</v>
      </c>
      <c r="AT133" s="5">
        <f>SUMIFS( E4:E451, D4:D451,"Derecho de la protección social pública y políticas sociales del Estado del Bienestar")</f>
        <v>9</v>
      </c>
      <c r="AU133" s="5">
        <f>SUMIFS( E4:E451, F4:F451,"Hombre", D4:D451,"Derecho de la protección social pública y políticas sociales del Estado del Bienestar")</f>
        <v>0</v>
      </c>
      <c r="AV133" s="5">
        <f>SUMIFS( E4:E451, F4:F451,"Mujer", D4:D451,"Derecho de la protección social pública y políticas sociales del Estado del Bienestar")</f>
        <v>9</v>
      </c>
      <c r="AW133" s="29">
        <f>SUMIFS( E4:E451, A4:A451,"2013", D4:D451,"Derecho de la protección social pública y políticas sociales del Estado del Bienestar")</f>
        <v>0</v>
      </c>
      <c r="AX133" s="5">
        <f>SUMIFS( E4:E451, A4:A451,"2014", D4:D451,"Derecho de la protección social pública y políticas sociales del Estado del Bienestar")</f>
        <v>0</v>
      </c>
      <c r="AY133" s="5">
        <f>SUMIFS( E4:E451, A4:A451,"2015", D4:D451,"Derecho de la protección social pública y políticas sociales del Estado del Bienestar")</f>
        <v>0</v>
      </c>
      <c r="AZ133" s="5">
        <f>SUMIFS( E4:E451, A4:A451,"2016", D4:D451,"Derecho de la protección social pública y políticas sociales del Estado del Bienestar")</f>
        <v>9</v>
      </c>
      <c r="BA133" s="5">
        <f>SUMIFS( E4:E451, A4:A451,"2017", D4:D451,"Derecho de la protección social pública y políticas sociales del Estado del Bienestar")</f>
        <v>0</v>
      </c>
      <c r="BB133" s="29">
        <f>SUMIFS( E4:E451, N4:N451,"2014", D4:D451,"Derecho de la protección social pública y políticas sociales del Estado del Bienestar")</f>
        <v>0</v>
      </c>
      <c r="BC133" s="5">
        <f>SUMIFS( E4:E451, N4:N451,"2015", D4:D451,"Derecho de la protección social pública y políticas sociales del Estado del Bienestar")</f>
        <v>0</v>
      </c>
      <c r="BD133" s="5">
        <f>SUMIFS( E4:E451, N4:N451,"2016", D4:D451,"Derecho de la protección social pública y políticas sociales del Estado del Bienestar")</f>
        <v>0</v>
      </c>
      <c r="BE133" s="5">
        <f>SUMIFS( E4:E451, N4:N451,"2017", D4:D451,"Derecho de la protección social pública y políticas sociales del Estado del Bienestar")</f>
        <v>9</v>
      </c>
      <c r="BF133" s="5">
        <f>SUMIFS( E4:E451, N4:N451,"2018", D4:D451,"Derecho de la protección social pública y políticas sociales del Estado del Bienestar")</f>
        <v>0</v>
      </c>
      <c r="BG133" s="23">
        <f>AVERAGEIFS( E4:E451, D4:D451,"Derecho de la protección social pública y políticas sociales del Estado del Bienestar")</f>
        <v>4.5</v>
      </c>
      <c r="BH133" s="23">
        <v>0</v>
      </c>
      <c r="BI133" s="23">
        <v>0</v>
      </c>
      <c r="BJ133" s="23">
        <v>0</v>
      </c>
      <c r="BK133" s="23">
        <f>AVERAGEIFS( E4:E451, A4:A451,"2016", D4:D451,"Derecho de la protección social pública y políticas sociales del Estado del Bienestar")</f>
        <v>9</v>
      </c>
      <c r="BL133" s="23">
        <f>AVERAGEIFS( E4:E451, A4:A451,"2017", D4:D451,"Derecho de la protección social pública y políticas sociales del Estado del Bienestar")</f>
        <v>0</v>
      </c>
      <c r="BM133" s="23">
        <v>4.5</v>
      </c>
      <c r="BN133" s="23">
        <v>0</v>
      </c>
      <c r="BO133" s="23">
        <v>0</v>
      </c>
      <c r="BP133" s="23">
        <v>0</v>
      </c>
      <c r="BQ133" s="23">
        <v>9</v>
      </c>
      <c r="BR133" s="23">
        <v>0</v>
      </c>
    </row>
    <row r="134" spans="1:70" ht="15" customHeight="1" x14ac:dyDescent="0.25">
      <c r="A134">
        <v>2015</v>
      </c>
      <c r="B134" t="s">
        <v>4</v>
      </c>
      <c r="C134" t="s">
        <v>31</v>
      </c>
      <c r="D134" t="s">
        <v>34</v>
      </c>
      <c r="E134">
        <v>7</v>
      </c>
      <c r="F134" s="16" t="s">
        <v>215</v>
      </c>
      <c r="G134" t="s">
        <v>233</v>
      </c>
      <c r="H134" t="s">
        <v>233</v>
      </c>
      <c r="I134" t="s">
        <v>233</v>
      </c>
      <c r="J134" t="s">
        <v>234</v>
      </c>
      <c r="K134" t="s">
        <v>233</v>
      </c>
      <c r="L134" t="s">
        <v>234</v>
      </c>
      <c r="M134" s="14">
        <v>42325</v>
      </c>
      <c r="N134" s="14" t="str">
        <f t="shared" si="2"/>
        <v>2015</v>
      </c>
      <c r="O134" s="55" t="s">
        <v>160</v>
      </c>
      <c r="P134" s="56"/>
      <c r="Q134" s="56"/>
      <c r="R134" s="56"/>
      <c r="S134" s="56"/>
      <c r="T134" s="57"/>
      <c r="U134" s="5">
        <f>COUNTIFS(   D4:D451,"Derecho del Consumo")</f>
        <v>1</v>
      </c>
      <c r="V134" s="5">
        <f>COUNTIFS(   D4:D451,"Derecho del Consumo",F4:F451,"Hombre")</f>
        <v>0</v>
      </c>
      <c r="W134" s="5">
        <f>COUNTIFS(   D4:D451,"Derecho del Consumo",F4:F451,"Mujer")</f>
        <v>1</v>
      </c>
      <c r="X134" s="29">
        <f>COUNTIFS(   A4:A451,"2013", D4:D451,"Derecho del Consumo")</f>
        <v>0</v>
      </c>
      <c r="Y134" s="5">
        <f>COUNTIFS(   A4:A451,"2014", D4:D451,"Derecho del Consumo")</f>
        <v>0</v>
      </c>
      <c r="Z134" s="5">
        <f>COUNTIFS(   A4:A451,"2015", D4:D451,"Derecho del Consumo")</f>
        <v>0</v>
      </c>
      <c r="AA134" s="5">
        <f>COUNTIFS(   A4:A451,"2016", D4:D451,"Derecho del Consumo")</f>
        <v>1</v>
      </c>
      <c r="AB134" s="5">
        <f>COUNTIFS(   A4:A451,"2017", D4:D451,"Derecho del Consumo")</f>
        <v>0</v>
      </c>
      <c r="AC134" s="29">
        <f>COUNTIFS(   N4:N451,"2014", D4:D451,"Derecho del Consumo")</f>
        <v>0</v>
      </c>
      <c r="AD134" s="5">
        <f>COUNTIFS(   N4:N451,"2015", D4:D451,"Derecho del Consumo")</f>
        <v>0</v>
      </c>
      <c r="AE134" s="5">
        <f>COUNTIFS(   N4:N451,"2016", D4:D451,"Derecho del Consumo")</f>
        <v>0</v>
      </c>
      <c r="AF134" s="5">
        <f>COUNTIFS(   N4:N451,"2017", D4:D451,"Derecho del Consumo")</f>
        <v>1</v>
      </c>
      <c r="AG134" s="5">
        <f>COUNTIFS(   N4:N451,"2018", D4:D451,"Derecho del Consumo")</f>
        <v>0</v>
      </c>
      <c r="AH134" s="5">
        <f>COUNTIFS(   D4:D451,"Derecho del Consumo",G4:G451,"Sí")</f>
        <v>0</v>
      </c>
      <c r="AI134" s="5">
        <f>COUNTIFS(   D4:D451,"Derecho del Consumo",G4:G451,"No")</f>
        <v>1</v>
      </c>
      <c r="AJ134" s="5">
        <f>SUMIFS( E4:E451, D4:D451,"Derecho del Consumo",G4:G451,"Sí")</f>
        <v>0</v>
      </c>
      <c r="AK134" s="5">
        <f>SUMIFS( E4:E451, D4:D451,"Derecho del Consumo",G4:G451,"No")</f>
        <v>2</v>
      </c>
      <c r="AL134" s="5">
        <f>COUNTIFS(   D4:D451,"Derecho del Consumo",H4:H451,"Sí")</f>
        <v>0</v>
      </c>
      <c r="AM134" s="5">
        <f>COUNTIFS(   D4:D451,"Derecho del Consumo",I4:I451,"Sí")</f>
        <v>0</v>
      </c>
      <c r="AN134" s="5">
        <f>COUNTIFS(   D4:D451,"Derecho del Consumo",I4:I451,"No")</f>
        <v>1</v>
      </c>
      <c r="AO134" s="5">
        <f>SUMIFS( E4:E451, D4:D451,"Derecho del Consumo",I4:I451,"Sí")</f>
        <v>0</v>
      </c>
      <c r="AP134" s="5">
        <f>SUMIFS( E4:E451, D4:D451,"Derecho del Consumo",I4:I451,"No")</f>
        <v>2</v>
      </c>
      <c r="AQ134" s="5">
        <f>COUNTIFS(   D4:D451,"Derecho del Consumo",J4:J451,"Sí")</f>
        <v>1</v>
      </c>
      <c r="AR134" s="5">
        <f>COUNTIFS(   D4:D451,"Derecho del Consumo",K4:K451,"Sí")</f>
        <v>0</v>
      </c>
      <c r="AS134" s="5">
        <f>COUNTIFS(   D4:D451,"Derecho del Consumo",L4:L451,"Sí")</f>
        <v>1</v>
      </c>
      <c r="AT134" s="5">
        <f>SUMIFS( E4:E451, D4:D451,"Derecho del Consumo")</f>
        <v>2</v>
      </c>
      <c r="AU134" s="5">
        <f>SUMIFS( E4:E451, F4:F451,"Hombre", D4:D451,"Derecho del Consumo")</f>
        <v>0</v>
      </c>
      <c r="AV134" s="5">
        <f>SUMIFS( E4:E451, F4:F451,"Mujer", D4:D451,"Derecho del Consumo")</f>
        <v>2</v>
      </c>
      <c r="AW134" s="29">
        <f>SUMIFS( E4:E451, A4:A451,"2013", D4:D451,"Derecho del Consumo")</f>
        <v>0</v>
      </c>
      <c r="AX134" s="5">
        <f>SUMIFS( E4:E451, A4:A451,"2014", D4:D451,"Derecho del Consumo")</f>
        <v>0</v>
      </c>
      <c r="AY134" s="5">
        <f>SUMIFS( E4:E451, A4:A451,"2015", D4:D451,"Derecho del Consumo")</f>
        <v>0</v>
      </c>
      <c r="AZ134" s="5">
        <f>SUMIFS( E4:E451, A4:A451,"2016", D4:D451,"Derecho del Consumo")</f>
        <v>2</v>
      </c>
      <c r="BA134" s="5">
        <f>SUMIFS( E4:E451, A4:A451,"2017", D4:D451,"Derecho del Consumo")</f>
        <v>0</v>
      </c>
      <c r="BB134" s="29">
        <f>SUMIFS( E4:E451, N4:N451,"2014", D4:D451,"Derecho del Consumo")</f>
        <v>0</v>
      </c>
      <c r="BC134" s="5">
        <f>SUMIFS( E4:E451, N4:N451,"2015", D4:D451,"Derecho del Consumo")</f>
        <v>0</v>
      </c>
      <c r="BD134" s="5">
        <f>SUMIFS( E4:E451, N4:N451,"2016", D4:D451,"Derecho del Consumo")</f>
        <v>0</v>
      </c>
      <c r="BE134" s="5">
        <f>SUMIFS( E4:E451, N4:N451,"2017", D4:D451,"Derecho del Consumo")</f>
        <v>2</v>
      </c>
      <c r="BF134" s="5">
        <f>SUMIFS( E4:E451, N4:N451,"2018", D4:D451,"Derecho del Consumo")</f>
        <v>0</v>
      </c>
      <c r="BG134" s="23">
        <f>AVERAGEIFS( E4:E451, D4:D451,"Derecho del Consumo")</f>
        <v>2</v>
      </c>
      <c r="BH134" s="23">
        <v>0</v>
      </c>
      <c r="BI134" s="23">
        <v>0</v>
      </c>
      <c r="BJ134" s="23">
        <v>0</v>
      </c>
      <c r="BK134" s="23">
        <f>AVERAGEIFS( E4:E451, A4:A451,"2016", D4:D451,"Derecho del Consumo")</f>
        <v>2</v>
      </c>
      <c r="BL134" s="23">
        <f>AVERAGEIFS( E5:E452, A5:A452,"2017", D5:D452,"Derecho de la protección social pública y políticas sociales del Estado del Bienestar")</f>
        <v>0</v>
      </c>
      <c r="BM134" s="23">
        <v>2</v>
      </c>
      <c r="BN134" s="23">
        <v>0</v>
      </c>
      <c r="BO134" s="23">
        <v>0</v>
      </c>
      <c r="BP134" s="23">
        <v>0</v>
      </c>
      <c r="BQ134" s="23">
        <v>2</v>
      </c>
      <c r="BR134" s="23">
        <v>0</v>
      </c>
    </row>
    <row r="135" spans="1:70" ht="15" customHeight="1" x14ac:dyDescent="0.25">
      <c r="A135">
        <v>2014</v>
      </c>
      <c r="B135" t="s">
        <v>4</v>
      </c>
      <c r="C135" t="s">
        <v>31</v>
      </c>
      <c r="D135" t="s">
        <v>33</v>
      </c>
      <c r="E135" s="17">
        <v>1</v>
      </c>
      <c r="F135" s="16" t="s">
        <v>215</v>
      </c>
      <c r="G135" t="s">
        <v>233</v>
      </c>
      <c r="H135" t="s">
        <v>233</v>
      </c>
      <c r="I135" t="s">
        <v>233</v>
      </c>
      <c r="J135" t="s">
        <v>234</v>
      </c>
      <c r="K135" t="s">
        <v>233</v>
      </c>
      <c r="L135" t="s">
        <v>234</v>
      </c>
      <c r="M135" s="14">
        <v>42188</v>
      </c>
      <c r="N135" s="14" t="str">
        <f t="shared" si="2"/>
        <v>2015</v>
      </c>
      <c r="O135" s="55" t="s">
        <v>159</v>
      </c>
      <c r="P135" s="56"/>
      <c r="Q135" s="56"/>
      <c r="R135" s="56"/>
      <c r="S135" s="56"/>
      <c r="T135" s="57"/>
      <c r="U135" s="5">
        <f>COUNTIFS(   D4:D451,"Derecho Económico, de los negocios y de la empresa")</f>
        <v>5</v>
      </c>
      <c r="V135" s="5">
        <f>COUNTIFS(   D4:D451,"Derecho Económico, de los negocios y de la empresa",F4:F451,"Hombre")</f>
        <v>5</v>
      </c>
      <c r="W135" s="5">
        <f>COUNTIFS(   D4:D451,"Derecho Económico, de los negocios y de la empresa",F4:F451,"Mujer")</f>
        <v>0</v>
      </c>
      <c r="X135" s="29">
        <f>COUNTIFS(   A4:A451,"2013", D4:D451,"Derecho Económico, de los negocios y de la empresa")</f>
        <v>0</v>
      </c>
      <c r="Y135" s="5">
        <f>COUNTIFS(   A4:A451,"2014", D4:D451,"Derecho Económico, de los negocios y de la empresa")</f>
        <v>0</v>
      </c>
      <c r="Z135" s="5">
        <f>COUNTIFS(   A4:A451,"2015", D4:D451,"Derecho Económico, de los negocios y de la empresa")</f>
        <v>0</v>
      </c>
      <c r="AA135" s="5">
        <f>COUNTIFS(   A4:A451,"2016", D4:D451,"Derecho Económico, de los negocios y de la empresa")</f>
        <v>4</v>
      </c>
      <c r="AB135" s="5">
        <f>COUNTIFS(   A4:A451,"2017", D4:D451,"Derecho Económico, de los negocios y de la empresa")</f>
        <v>1</v>
      </c>
      <c r="AC135" s="29">
        <f>COUNTIFS(   N4:N451,"2014", D4:D451,"Derecho Económico, de los negocios y de la empresa")</f>
        <v>0</v>
      </c>
      <c r="AD135" s="5">
        <f>COUNTIFS(   N4:N451,"2015", D4:D451,"Derecho Económico, de los negocios y de la empresa")</f>
        <v>0</v>
      </c>
      <c r="AE135" s="5">
        <f>COUNTIFS(   N4:N451,"2016", D4:D451,"Derecho Económico, de los negocios y de la empresa")</f>
        <v>1</v>
      </c>
      <c r="AF135" s="5">
        <f>COUNTIFS(   N4:N451,"2017", D4:D451,"Derecho Económico, de los negocios y de la empresa")</f>
        <v>4</v>
      </c>
      <c r="AG135" s="5">
        <f>COUNTIFS(   N4:N451,"2018", D4:D451,"Derecho Económico, de los negocios y de la empresa")</f>
        <v>0</v>
      </c>
      <c r="AH135" s="5">
        <f>COUNTIFS(   D4:D451,"Derecho Económico, de los negocios y de la empresa",G4:G451,"Sí")</f>
        <v>0</v>
      </c>
      <c r="AI135" s="5">
        <f>COUNTIFS(   D4:D451,"Derecho Económico, de los negocios y de la empresa",G4:G451,"No")</f>
        <v>5</v>
      </c>
      <c r="AJ135" s="5">
        <f>SUMIFS( E4:E451, D4:D451,"Derecho Económico, de los negocios y de la empresa",G4:G451,"Sí")</f>
        <v>0</v>
      </c>
      <c r="AK135" s="5">
        <f>SUMIFS( E4:E451, D4:D451,"Derecho Económico, de los negocios y de la empresa",G4:G451,"No")</f>
        <v>33</v>
      </c>
      <c r="AL135" s="5">
        <f>COUNTIFS(   D4:D451,"Derecho Económico, de los negocios y de la empresa",H4:H451,"Sí")</f>
        <v>2</v>
      </c>
      <c r="AM135" s="5">
        <f>COUNTIFS(   D4:D451,"Derecho Económico, de los negocios y de la empresa",I4:I451,"Sí")</f>
        <v>2</v>
      </c>
      <c r="AN135" s="5">
        <f>COUNTIFS(   D4:D451,"Derecho Económico, de los negocios y de la empresa",I4:I451,"No")</f>
        <v>3</v>
      </c>
      <c r="AO135" s="5">
        <f>SUMIFS( E4:E451, D4:D451,"Derecho Económico, de los negocios y de la empresa",I4:I451,"Sí")</f>
        <v>18</v>
      </c>
      <c r="AP135" s="5">
        <f>SUMIFS( E4:E451, D4:D451,"Derecho Económico, de los negocios y de la empresa",I4:I451,"No")</f>
        <v>15</v>
      </c>
      <c r="AQ135" s="5">
        <f>COUNTIFS(   D4:D451,"Derecho Económico, de los negocios y de la empresa",J4:J451,"Sí")</f>
        <v>5</v>
      </c>
      <c r="AR135" s="5">
        <f>COUNTIFS(   D4:D451,"Derecho Económico, de los negocios y de la empresa",K4:K451,"Sí")</f>
        <v>3</v>
      </c>
      <c r="AS135" s="5">
        <f>COUNTIFS(   D4:D451,"Derecho Económico, de los negocios y de la empresa",L4:L451,"Sí")</f>
        <v>4</v>
      </c>
      <c r="AT135" s="5">
        <f>SUMIFS( E4:E451, D4:D451,"Derecho Económico, de los negocios y de la empresa")</f>
        <v>33</v>
      </c>
      <c r="AU135" s="5">
        <f>SUMIFS( E4:E451, F4:F451,"Hombre", D4:D451,"Derecho Económico, de los negocios y de la empresa")</f>
        <v>33</v>
      </c>
      <c r="AV135" s="5">
        <f>SUMIFS( E4:E451, F4:F451,"Mujer", D4:D451,"Derecho Económico, de los negocios y de la empresa")</f>
        <v>0</v>
      </c>
      <c r="AW135" s="29">
        <f>SUMIFS( E4:E451, A4:A451,"2013", D4:D451,"Derecho Económico, de los negocios y de la empresa")</f>
        <v>0</v>
      </c>
      <c r="AX135" s="5">
        <f>SUMIFS( E4:E451, A4:A451,"2014", D4:D451,"Derecho Económico, de los negocios y de la empresa")</f>
        <v>0</v>
      </c>
      <c r="AY135" s="5">
        <f>SUMIFS( E4:E451, A4:A451,"2015", D4:D451,"Derecho Económico, de los negocios y de la empresa")</f>
        <v>0</v>
      </c>
      <c r="AZ135" s="5">
        <f>SUMIFS( E4:E451, A4:A451,"2016", D4:D451,"Derecho Económico, de los negocios y de la empresa")</f>
        <v>33</v>
      </c>
      <c r="BA135" s="5">
        <f>SUMIFS( E4:E451, A4:A451,"2017", D4:D451,"Derecho Económico, de los negocios y de la empresa")</f>
        <v>0</v>
      </c>
      <c r="BB135" s="29">
        <f>SUMIFS( E4:E451, N4:N451,"2014", D4:D451,"Derecho Económico, de los negocios y de la empresa")</f>
        <v>0</v>
      </c>
      <c r="BC135" s="5">
        <f>SUMIFS( E4:E451, N4:N451,"2015", D4:D451,"Derecho Económico, de los negocios y de la empresa")</f>
        <v>0</v>
      </c>
      <c r="BD135" s="5">
        <f>SUMIFS( E4:E451, N4:N451,"2016", D4:D451,"Derecho Económico, de los negocios y de la empresa")</f>
        <v>17</v>
      </c>
      <c r="BE135" s="5">
        <f>SUMIFS( E4:E451, N4:N451,"2017", D4:D451,"Derecho Económico, de los negocios y de la empresa")</f>
        <v>16</v>
      </c>
      <c r="BF135" s="5">
        <f>SUMIFS( E4:E451, N4:N451,"2018", D4:D451,"Derecho Económico, de los negocios y de la empresa")</f>
        <v>0</v>
      </c>
      <c r="BG135" s="23">
        <f>AVERAGEIFS( E4:E451, D4:D451,"Derecho Económico, de los negocios y de la empresa")</f>
        <v>6.6</v>
      </c>
      <c r="BH135" s="23">
        <v>0</v>
      </c>
      <c r="BI135" s="23">
        <v>0</v>
      </c>
      <c r="BJ135" s="23">
        <v>0</v>
      </c>
      <c r="BK135" s="23">
        <f>AVERAGEIFS( E4:E451, A4:A451,"2016", D4:D451,"Derecho Económico, de los negocios y de la empresa")</f>
        <v>8.25</v>
      </c>
      <c r="BL135" s="23">
        <f>AVERAGEIFS( E4:E451, A4:A451,"2017", D4:D451,"Derecho Económico, de los negocios y de la empresa")</f>
        <v>0</v>
      </c>
      <c r="BM135" s="23">
        <v>6.6</v>
      </c>
      <c r="BN135" s="23">
        <v>0</v>
      </c>
      <c r="BO135" s="23">
        <v>0</v>
      </c>
      <c r="BP135" s="23">
        <v>0</v>
      </c>
      <c r="BQ135" s="23">
        <v>8.25</v>
      </c>
      <c r="BR135" s="23">
        <v>0</v>
      </c>
    </row>
    <row r="136" spans="1:70" ht="15" customHeight="1" x14ac:dyDescent="0.25">
      <c r="A136">
        <v>2013</v>
      </c>
      <c r="B136" t="s">
        <v>4</v>
      </c>
      <c r="C136" t="s">
        <v>31</v>
      </c>
      <c r="D136" t="s">
        <v>32</v>
      </c>
      <c r="E136" s="17">
        <v>10</v>
      </c>
      <c r="F136" s="16" t="s">
        <v>215</v>
      </c>
      <c r="G136" t="s">
        <v>233</v>
      </c>
      <c r="H136" t="s">
        <v>233</v>
      </c>
      <c r="I136" t="s">
        <v>233</v>
      </c>
      <c r="J136" t="s">
        <v>234</v>
      </c>
      <c r="K136" t="s">
        <v>233</v>
      </c>
      <c r="L136" t="s">
        <v>234</v>
      </c>
      <c r="M136" s="14">
        <v>41894</v>
      </c>
      <c r="N136" s="14" t="str">
        <f t="shared" si="2"/>
        <v>2014</v>
      </c>
      <c r="O136" s="55" t="s">
        <v>156</v>
      </c>
      <c r="P136" s="56"/>
      <c r="Q136" s="56"/>
      <c r="R136" s="56"/>
      <c r="S136" s="56"/>
      <c r="T136" s="57"/>
      <c r="U136" s="5">
        <f>COUNTIFS(   D4:D451,"Derecho Financiero. Ingresos y gastos públicos")</f>
        <v>3</v>
      </c>
      <c r="V136" s="5">
        <f>COUNTIFS(   D4:D451,"Derecho Financiero. Ingresos y gastos públicos",F4:F451,"Hombre")</f>
        <v>2</v>
      </c>
      <c r="W136" s="5">
        <f>COUNTIFS(   D4:D451,"Derecho Financiero. Ingresos y gastos públicos",F4:F451,"Mujer")</f>
        <v>1</v>
      </c>
      <c r="X136" s="29">
        <f>COUNTIFS(   A4:A451,"2013", D4:D451,"Derecho Financiero. Ingresos y gastos públicos")</f>
        <v>0</v>
      </c>
      <c r="Y136" s="5">
        <f>COUNTIFS(   A4:A451,"2014", D4:D451,"Derecho Financiero. Ingresos y gastos públicos")</f>
        <v>0</v>
      </c>
      <c r="Z136" s="5">
        <f>COUNTIFS(   A4:A451,"2015", D4:D451,"Derecho Financiero. Ingresos y gastos públicos")</f>
        <v>0</v>
      </c>
      <c r="AA136" s="5">
        <f>COUNTIFS(   A4:A451,"2016", D4:D451,"Derecho Financiero. Ingresos y gastos públicos")</f>
        <v>1</v>
      </c>
      <c r="AB136" s="5">
        <f>COUNTIFS(   A4:A451,"2017", D4:D451,"Derecho Financiero. Ingresos y gastos públicos")</f>
        <v>2</v>
      </c>
      <c r="AC136" s="29">
        <f>COUNTIFS(   N4:N451,"2014", D4:D451,"Derecho Financiero. Ingresos y gastos públicos")</f>
        <v>0</v>
      </c>
      <c r="AD136" s="5">
        <f>COUNTIFS(   N4:N451,"2015", D4:D451,"Derecho Financiero. Ingresos y gastos públicos")</f>
        <v>0</v>
      </c>
      <c r="AE136" s="5">
        <f>COUNTIFS(   N4:N451,"2016", D4:D451,"Derecho Financiero. Ingresos y gastos públicos")</f>
        <v>0</v>
      </c>
      <c r="AF136" s="5">
        <f>COUNTIFS(   N4:N451,"2017", D4:D451,"Derecho Financiero. Ingresos y gastos públicos")</f>
        <v>3</v>
      </c>
      <c r="AG136" s="5">
        <f>COUNTIFS(   N4:N451,"2018", D4:D451,"Derecho Financiero. Ingresos y gastos públicos")</f>
        <v>0</v>
      </c>
      <c r="AH136" s="5">
        <f>COUNTIFS(   D4:D451,"Derecho Financiero. Ingresos y gastos públicos",G4:G451,"Sí")</f>
        <v>0</v>
      </c>
      <c r="AI136" s="5">
        <f>COUNTIFS(   D4:D451,"Derecho Financiero. Ingresos y gastos públicos",G4:G451,"No")</f>
        <v>3</v>
      </c>
      <c r="AJ136" s="5">
        <f>SUMIFS( E4:E451, D4:D451,"Derecho Financiero. Ingresos y gastos públicos",G4:G451,"Sí")</f>
        <v>0</v>
      </c>
      <c r="AK136" s="5">
        <f>SUMIFS( E4:E451, D4:D451,"Derecho Financiero. Ingresos y gastos públicos",G4:G451,"No")</f>
        <v>2</v>
      </c>
      <c r="AL136" s="5">
        <f>COUNTIFS(   D4:D451,"Derecho Financiero. Ingresos y gastos públicos",H4:H451,"Sí")</f>
        <v>0</v>
      </c>
      <c r="AM136" s="5">
        <f>COUNTIFS(   D4:D451,"Derecho Financiero. Ingresos y gastos públicos",I4:I451,"Sí")</f>
        <v>0</v>
      </c>
      <c r="AN136" s="5">
        <f>COUNTIFS(   D4:D451,"Derecho Financiero. Ingresos y gastos públicos",I4:I451,"No")</f>
        <v>3</v>
      </c>
      <c r="AO136" s="5">
        <f>SUMIFS( E4:E451, D4:D451,"Derecho Financiero. Ingresos y gastos públicos",I4:I451,"Sí")</f>
        <v>0</v>
      </c>
      <c r="AP136" s="5">
        <f>SUMIFS( E4:E451, D4:D451,"Derecho Financiero. Ingresos y gastos públicos",I4:I451,"No")</f>
        <v>2</v>
      </c>
      <c r="AQ136" s="5">
        <f>COUNTIFS(   D4:D451,"Derecho Financiero. Ingresos y gastos públicos",J4:J451,"Sí")</f>
        <v>3</v>
      </c>
      <c r="AR136" s="5">
        <f>COUNTIFS(   D4:D451,"Derecho Financiero. Ingresos y gastos públicos",K4:K451,"Sí")</f>
        <v>2</v>
      </c>
      <c r="AS136" s="5">
        <f>COUNTIFS(   D4:D451,"Derecho Financiero. Ingresos y gastos públicos",L4:L451,"Sí")</f>
        <v>3</v>
      </c>
      <c r="AT136" s="5">
        <f>SUMIFS( E4:E451, D4:D451,"Derecho Financiero. Ingresos y gastos públicos")</f>
        <v>2</v>
      </c>
      <c r="AU136" s="5">
        <f>SUMIFS( E4:E451, F4:F451,"Hombre", D4:D451,"Derecho Financiero. Ingresos y gastos públicos")</f>
        <v>2</v>
      </c>
      <c r="AV136" s="5">
        <f>SUMIFS( E4:E451, F4:F451,"Mujer", D4:D451,"Derecho Financiero. Ingresos y gastos públicos")</f>
        <v>0</v>
      </c>
      <c r="AW136" s="29">
        <f>SUMIFS( E4:E451, A4:A451,"2013", D4:D451,"Derecho Financiero. Ingresos y gastos públicos")</f>
        <v>0</v>
      </c>
      <c r="AX136" s="5">
        <f>SUMIFS( E4:E451, A4:A451,"2014", D4:D451,"Derecho Financiero. Ingresos y gastos públicos")</f>
        <v>0</v>
      </c>
      <c r="AY136" s="5">
        <f>SUMIFS( E4:E451, A4:A451,"2015", D4:D451,"Derecho Financiero. Ingresos y gastos públicos")</f>
        <v>0</v>
      </c>
      <c r="AZ136" s="5">
        <f>SUMIFS( E4:E451, A4:A451,"2016", D4:D451,"Derecho Financiero. Ingresos y gastos públicos")</f>
        <v>0</v>
      </c>
      <c r="BA136" s="5">
        <f>SUMIFS( E4:E451, A4:A451,"2017", D4:D451,"Derecho Financiero. Ingresos y gastos públicos")</f>
        <v>2</v>
      </c>
      <c r="BB136" s="29">
        <f>SUMIFS( E4:E451, N4:N451,"2014", D4:D451,"Derecho Financiero. Ingresos y gastos públicos")</f>
        <v>0</v>
      </c>
      <c r="BC136" s="5">
        <f>SUMIFS( E4:E451, N4:N451,"2015", D4:D451,"Derecho Financiero. Ingresos y gastos públicos")</f>
        <v>0</v>
      </c>
      <c r="BD136" s="5">
        <f>SUMIFS( E4:E451, N4:N451,"2016", D4:D451,"Derecho Financiero. Ingresos y gastos públicos")</f>
        <v>0</v>
      </c>
      <c r="BE136" s="5">
        <f>SUMIFS( E4:E451, N4:N451,"2017", D4:D451,"Derecho Financiero. Ingresos y gastos públicos")</f>
        <v>2</v>
      </c>
      <c r="BF136" s="5">
        <f>SUMIFS( E4:E451, N4:N451,"2018", D4:D451,"Derecho Financiero. Ingresos y gastos públicos")</f>
        <v>0</v>
      </c>
      <c r="BG136" s="23">
        <f>AVERAGEIFS( E4:E451, D4:D451,"Derecho Financiero. Ingresos y gastos públicos")</f>
        <v>0.66666666666666663</v>
      </c>
      <c r="BH136" s="23">
        <v>0</v>
      </c>
      <c r="BI136" s="23">
        <v>0</v>
      </c>
      <c r="BJ136" s="23">
        <v>0</v>
      </c>
      <c r="BK136" s="23">
        <f>AVERAGEIFS( E4:E451, A4:A451,"2016", D4:D451,"Derecho Financiero. Ingresos y gastos públicos")</f>
        <v>0</v>
      </c>
      <c r="BL136" s="23">
        <f>AVERAGEIFS( E4:E451, A4:A451,"2017", D4:D451,"Derecho Financiero. Ingresos y gastos públicos")</f>
        <v>1</v>
      </c>
      <c r="BM136" s="23">
        <v>0.66666666666666663</v>
      </c>
      <c r="BN136" s="23">
        <v>0</v>
      </c>
      <c r="BO136" s="23">
        <v>0</v>
      </c>
      <c r="BP136" s="23">
        <v>0</v>
      </c>
      <c r="BQ136" s="23">
        <v>0</v>
      </c>
      <c r="BR136" s="23">
        <v>1</v>
      </c>
    </row>
    <row r="137" spans="1:70" ht="15" customHeight="1" x14ac:dyDescent="0.25">
      <c r="A137">
        <v>2017</v>
      </c>
      <c r="B137" t="s">
        <v>4</v>
      </c>
      <c r="C137" t="s">
        <v>207</v>
      </c>
      <c r="D137" t="s">
        <v>42</v>
      </c>
      <c r="E137">
        <v>2</v>
      </c>
      <c r="F137" s="16" t="s">
        <v>211</v>
      </c>
      <c r="G137" t="s">
        <v>233</v>
      </c>
      <c r="H137" s="16" t="s">
        <v>233</v>
      </c>
      <c r="I137" t="s">
        <v>234</v>
      </c>
      <c r="J137" t="s">
        <v>234</v>
      </c>
      <c r="K137" t="s">
        <v>233</v>
      </c>
      <c r="L137" t="s">
        <v>234</v>
      </c>
      <c r="M137" s="14">
        <v>43217</v>
      </c>
      <c r="N137" s="14" t="str">
        <f t="shared" si="2"/>
        <v>2018</v>
      </c>
      <c r="O137" s="55" t="s">
        <v>209</v>
      </c>
      <c r="P137" s="56"/>
      <c r="Q137" s="56"/>
      <c r="R137" s="56"/>
      <c r="S137" s="56"/>
      <c r="T137" s="57"/>
      <c r="U137" s="5">
        <f>COUNTIFS(   D4:D451,"Derecho Internacional, de la Unión Europea y Comparado")</f>
        <v>1</v>
      </c>
      <c r="V137" s="5">
        <f>COUNTIFS(   D4:D451,"Derecho Internacional, de la Unión Europea y Comparado",F4:F451,"Hombre")</f>
        <v>1</v>
      </c>
      <c r="W137" s="5">
        <f>COUNTIFS(   D4:D451,"Derecho Internacional, de la Unión Europea y Comparado",F4:F451,"Mujer")</f>
        <v>0</v>
      </c>
      <c r="X137" s="29">
        <f>COUNTIFS(   A4:A451,"2013", D4:D451,"Derecho Internacional, de la Unión Europea y Comparado")</f>
        <v>0</v>
      </c>
      <c r="Y137" s="5">
        <f>COUNTIFS(   A4:A451,"2014", D4:D451,"Derecho Internacional, de la Unión Europea y Comparado")</f>
        <v>0</v>
      </c>
      <c r="Z137" s="5">
        <f>COUNTIFS(   A4:A451,"2015", D4:D451,"Derecho Internacional, de la Unión Europea y Comparado")</f>
        <v>1</v>
      </c>
      <c r="AA137" s="5">
        <f>COUNTIFS(   A4:A451,"2016", D4:D451,"Derecho Internacional, de la Unión Europea y Comparado")</f>
        <v>0</v>
      </c>
      <c r="AB137" s="5">
        <f>COUNTIFS(   A4:A451,"2017", D4:D451,"Derecho Internacional, de la Unión Europea y Comparado")</f>
        <v>0</v>
      </c>
      <c r="AC137" s="29">
        <f>COUNTIFS(   N4:N451,"2014", D4:D451,"Derecho Internacional, de la Unión Europea y Comparado")</f>
        <v>0</v>
      </c>
      <c r="AD137" s="5">
        <f>COUNTIFS(   N4:N451,"2015", D4:D451,"Derecho Internacional, de la Unión Europea y Comparado")</f>
        <v>0</v>
      </c>
      <c r="AE137" s="5">
        <f>COUNTIFS(   N4:N451,"2016", D4:D451,"Derecho Internacional, de la Unión Europea y Comparado")</f>
        <v>1</v>
      </c>
      <c r="AF137" s="5">
        <f>COUNTIFS(   N4:N451,"2017", D4:D451,"Derecho Internacional, de la Unión Europea y Comparado")</f>
        <v>0</v>
      </c>
      <c r="AG137" s="5">
        <f>COUNTIFS(   N4:N451,"2018", D4:D451,"Derecho Internacional, de la Unión Europea y Comparado")</f>
        <v>0</v>
      </c>
      <c r="AH137" s="5">
        <f>COUNTIFS(   D4:D451,"Derecho Internacional, de la Unión Europea y Comparado",G4:G451,"Sí")</f>
        <v>0</v>
      </c>
      <c r="AI137" s="5">
        <f>COUNTIFS(   D4:D451,"Derecho Internacional, de la Unión Europea y Comparado",G4:G451,"No")</f>
        <v>1</v>
      </c>
      <c r="AJ137" s="5">
        <f>SUMIFS( E4:E451, D4:D451,"Derecho Internacional, de la Unión Europea y Comparado",G4:G451,"Sí")</f>
        <v>0</v>
      </c>
      <c r="AK137" s="5">
        <f>SUMIFS( E4:E451, D4:D451,"Derecho Internacional, de la Unión Europea y Comparado",G4:G451,"No")</f>
        <v>1</v>
      </c>
      <c r="AL137" s="5">
        <f>COUNTIFS(   D4:D451,"Derecho Internacional, de la Unión Europea y Comparado",H4:H451,"Sí")</f>
        <v>0</v>
      </c>
      <c r="AM137" s="5">
        <f>COUNTIFS(   D4:D451,"Derecho Internacional, de la Unión Europea y Comparado",I4:I451,"Sí")</f>
        <v>1</v>
      </c>
      <c r="AN137" s="5">
        <f>COUNTIFS(   D4:D451,"Derecho Internacional, de la Unión Europea y Comparado",I4:I451,"No")</f>
        <v>0</v>
      </c>
      <c r="AO137" s="5">
        <f>SUMIFS( E4:E451, D4:D451,"Derecho Internacional, de la Unión Europea y Comparado",I4:I451,"Sí")</f>
        <v>1</v>
      </c>
      <c r="AP137" s="5">
        <f>SUMIFS( E4:E451, D4:D451,"Derecho Internacional, de la Unión Europea y Comparado",I4:I451,"No")</f>
        <v>0</v>
      </c>
      <c r="AQ137" s="5">
        <f>COUNTIFS(   D4:D451,"Derecho Internacional, de la Unión Europea y Comparado",J4:J451,"Sí")</f>
        <v>1</v>
      </c>
      <c r="AR137" s="5">
        <f>COUNTIFS(   D4:D451,"Derecho Internacional, de la Unión Europea y Comparado",K4:K451,"Sí")</f>
        <v>0</v>
      </c>
      <c r="AS137" s="5">
        <f>COUNTIFS(   D4:D451,"Derecho Internacional, de la Unión Europea y Comparado",L4:L451,"Sí")</f>
        <v>1</v>
      </c>
      <c r="AT137" s="5">
        <f>SUMIFS( E4:E451, D4:D451,"Derecho Internacional, de la Unión Europea y Comparado")</f>
        <v>1</v>
      </c>
      <c r="AU137" s="5">
        <f>SUMIFS( E4:E451, F4:F451,"Hombre", D4:D451,"Derecho Internacional, de la Unión Europea y Comparado")</f>
        <v>1</v>
      </c>
      <c r="AV137" s="5">
        <f>SUMIFS( E4:E451, F4:F451,"Mujer", D4:D451,"Derecho Internacional, de la Unión Europea y Comparado")</f>
        <v>0</v>
      </c>
      <c r="AW137" s="29">
        <f>SUMIFS( E4:E451, A4:A451,"2013", D4:D451,"Derecho Internacional, de la Unión Europea y Comparado")</f>
        <v>0</v>
      </c>
      <c r="AX137" s="5">
        <f>SUMIFS( E4:E451, A4:A451,"2014", D4:D451,"Derecho Internacional, de la Unión Europea y Comparado")</f>
        <v>0</v>
      </c>
      <c r="AY137" s="5">
        <f>SUMIFS( E4:E451, A4:A451,"2015", D4:D451,"Derecho Internacional, de la Unión Europea y Comparado")</f>
        <v>1</v>
      </c>
      <c r="AZ137" s="5">
        <f>SUMIFS( E4:E451, A4:A451,"2016", D4:D451,"Derecho Internacional, de la Unión Europea y Comparado")</f>
        <v>0</v>
      </c>
      <c r="BA137" s="5">
        <f>SUMIFS( E4:E451, A4:A451,"2017", D4:D451,"Derecho Internacional, de la Unión Europea y Comparado")</f>
        <v>0</v>
      </c>
      <c r="BB137" s="29">
        <f>SUMIFS( E4:E451, N4:N451,"2014", D4:D451,"Derecho Internacional, de la Unión Europea y Comparado")</f>
        <v>0</v>
      </c>
      <c r="BC137" s="5">
        <f>SUMIFS( E4:E451, N4:N451,"2015", D4:D451,"Derecho Internacional, de la Unión Europea y Comparado")</f>
        <v>0</v>
      </c>
      <c r="BD137" s="5">
        <f>SUMIFS( E4:E451, N4:N451,"2016", D4:D451,"Derecho Internacional, de la Unión Europea y Comparado")</f>
        <v>1</v>
      </c>
      <c r="BE137" s="5">
        <f>SUMIFS( E4:E451, N4:N451,"2017", D4:D451,"Derecho Internacional, de la Unión Europea y Comparado")</f>
        <v>0</v>
      </c>
      <c r="BF137" s="5">
        <f>SUMIFS( E4:E451, N4:N451,"2018", D4:D451,"Derecho Internacional, de la Unión Europea y Comparado")</f>
        <v>0</v>
      </c>
      <c r="BG137" s="23">
        <f>AVERAGEIFS( E4:E451, D4:D451,"Derecho Internacional, de la Unión Europea y Comparado")</f>
        <v>1</v>
      </c>
      <c r="BH137" s="23">
        <v>0</v>
      </c>
      <c r="BI137" s="23">
        <v>0</v>
      </c>
      <c r="BJ137" s="23">
        <f>AVERAGEIFS( E4:E451, A4:A451,"2015", D4:D451,"Derecho Internacional, de la Unión Europea y Comparado")</f>
        <v>1</v>
      </c>
      <c r="BK137" s="23">
        <v>0</v>
      </c>
      <c r="BL137" s="23">
        <v>0</v>
      </c>
      <c r="BM137" s="23">
        <v>1</v>
      </c>
      <c r="BN137" s="23">
        <v>0</v>
      </c>
      <c r="BO137" s="23">
        <v>0</v>
      </c>
      <c r="BP137" s="23">
        <v>1</v>
      </c>
      <c r="BQ137" s="23">
        <v>0</v>
      </c>
      <c r="BR137" s="23">
        <v>0</v>
      </c>
    </row>
    <row r="138" spans="1:70" ht="15" customHeight="1" x14ac:dyDescent="0.25">
      <c r="A138">
        <v>2017</v>
      </c>
      <c r="B138" t="s">
        <v>4</v>
      </c>
      <c r="C138" t="s">
        <v>207</v>
      </c>
      <c r="D138" t="s">
        <v>40</v>
      </c>
      <c r="E138">
        <v>8</v>
      </c>
      <c r="F138" s="16" t="s">
        <v>211</v>
      </c>
      <c r="G138" t="s">
        <v>233</v>
      </c>
      <c r="H138" s="16" t="s">
        <v>234</v>
      </c>
      <c r="I138" t="s">
        <v>234</v>
      </c>
      <c r="J138" t="s">
        <v>234</v>
      </c>
      <c r="K138" t="s">
        <v>233</v>
      </c>
      <c r="L138" t="s">
        <v>234</v>
      </c>
      <c r="M138" s="14">
        <v>43196</v>
      </c>
      <c r="N138" s="14" t="str">
        <f t="shared" si="2"/>
        <v>2018</v>
      </c>
      <c r="O138" s="55" t="s">
        <v>158</v>
      </c>
      <c r="P138" s="56"/>
      <c r="Q138" s="56"/>
      <c r="R138" s="56"/>
      <c r="S138" s="56"/>
      <c r="T138" s="57"/>
      <c r="U138" s="5">
        <f>COUNTIFS(   D4:D451,"Metodología, historia del conocimiento y la argumentación jurídica. Evaluación legislativa y aplicación del Derecho")</f>
        <v>2</v>
      </c>
      <c r="V138" s="5">
        <f>COUNTIFS(   D4:D451,"Metodología, historia del conocimiento y la argumentación jurídica. Evaluación legislativa y aplicación del Derecho",F4:F451,"Hombre")</f>
        <v>1</v>
      </c>
      <c r="W138" s="5">
        <f>COUNTIFS(   D4:D451,"Metodología, historia del conocimiento y la argumentación jurídica. Evaluación legislativa y aplicación del Derecho",F4:F451,"Mujer")</f>
        <v>1</v>
      </c>
      <c r="X138" s="29">
        <f>COUNTIFS(   A4:A451,"2013", D4:D451,"Metodología, historia del conocimiento y la argumentación jurídica. Evaluación legislativa y aplicación del Derecho")</f>
        <v>0</v>
      </c>
      <c r="Y138" s="5">
        <f>COUNTIFS(   A4:A451,"2014", D4:D451,"Metodología, historia del conocimiento y la argumentación jurídica. Evaluación legislativa y aplicación del Derecho")</f>
        <v>0</v>
      </c>
      <c r="Z138" s="5">
        <f>COUNTIFS(   A4:A451,"2015", D4:D451,"Metodología, historia del conocimiento y la argumentación jurídica. Evaluación legislativa y aplicación del Derecho")</f>
        <v>0</v>
      </c>
      <c r="AA138" s="5">
        <f>COUNTIFS(   A4:A451,"2016", D4:D451,"Metodología, historia del conocimiento y la argumentación jurídica. Evaluación legislativa y aplicación del Derecho")</f>
        <v>1</v>
      </c>
      <c r="AB138" s="5">
        <f>COUNTIFS(   A4:A451,"2017", D4:D451,"Metodología, historia del conocimiento y la argumentación jurídica. Evaluación legislativa y aplicación del Derecho")</f>
        <v>1</v>
      </c>
      <c r="AC138" s="29">
        <f>COUNTIFS(   N4:N451,"2014", D4:D451,"Metodología, historia del conocimiento y la argumentación jurídica. Evaluación legislativa y aplicación del Derecho")</f>
        <v>0</v>
      </c>
      <c r="AD138" s="5">
        <f>COUNTIFS(   N4:N451,"2015", D4:D451,"Metodología, historia del conocimiento y la argumentación jurídica. Evaluación legislativa y aplicación del Derecho")</f>
        <v>0</v>
      </c>
      <c r="AE138" s="5">
        <f>COUNTIFS(   N4:N451,"2016", D4:D451,"Metodología, historia del conocimiento y la argumentación jurídica. Evaluación legislativa y aplicación del Derecho")</f>
        <v>0</v>
      </c>
      <c r="AF138" s="5">
        <f>COUNTIFS(   N4:N451,"2017", D4:D451,"Metodología, historia del conocimiento y la argumentación jurídica. Evaluación legislativa y aplicación del Derecho")</f>
        <v>2</v>
      </c>
      <c r="AG138" s="5">
        <f>COUNTIFS(   N4:N451,"2018", D4:D451,"Metodología, historia del conocimiento y la argumentación jurídica. Evaluación legislativa y aplicación del Derecho")</f>
        <v>0</v>
      </c>
      <c r="AH138" s="5">
        <f>COUNTIFS(   D4:D451,"Metodología, historia del conocimiento y la argumentación jurídica. Evaluación legislativa y aplicación del Derecho",G4:G451,"Sí")</f>
        <v>0</v>
      </c>
      <c r="AI138" s="5">
        <f>COUNTIFS(   D4:D451,"Metodología, historia del conocimiento y la argumentación jurídica. Evaluación legislativa y aplicación del Derecho",G4:G451,"No")</f>
        <v>2</v>
      </c>
      <c r="AJ138" s="5">
        <f>SUMIFS( E4:E451, D4:D451,"Metodología, historia del conocimiento y la argumentación jurídica. Evaluación legislativa y aplicación del Derecho",G4:G451,"Sí")</f>
        <v>0</v>
      </c>
      <c r="AK138" s="5">
        <f>SUMIFS( E4:E451, D4:D451,"Metodología, historia del conocimiento y la argumentación jurídica. Evaluación legislativa y aplicación del Derecho",G4:G451,"No")</f>
        <v>46</v>
      </c>
      <c r="AL138" s="5">
        <f>COUNTIFS(   D4:D451,"Metodología, historia del conocimiento y la argumentación jurídica. Evaluación legislativa y aplicación del Derecho",H4:H451,"Sí")</f>
        <v>0</v>
      </c>
      <c r="AM138" s="5">
        <f>COUNTIFS(   D4:D451,"Metodología, historia del conocimiento y la argumentación jurídica. Evaluación legislativa y aplicación del Derecho",I4:I451,"Sí")</f>
        <v>0</v>
      </c>
      <c r="AN138" s="5">
        <f>COUNTIFS(   D4:D451,"Metodología, historia del conocimiento y la argumentación jurídica. Evaluación legislativa y aplicación del Derecho",I4:I451,"No")</f>
        <v>2</v>
      </c>
      <c r="AO138" s="5">
        <f>SUMIFS( E4:E451, D4:D451,"Metodología, historia del conocimiento y la argumentación jurídica. Evaluación legislativa y aplicación del Derecho",I4:I451,"Sí")</f>
        <v>0</v>
      </c>
      <c r="AP138" s="5">
        <f>SUMIFS( E4:E451, D4:D451,"Metodología, historia del conocimiento y la argumentación jurídica. Evaluación legislativa y aplicación del Derecho",I4:I451,"No")</f>
        <v>46</v>
      </c>
      <c r="AQ138" s="5">
        <f>COUNTIFS(   D4:D451,"Metodología, historia del conocimiento y la argumentación jurídica. Evaluación legislativa y aplicación del Derecho",J4:J451,"Sí")</f>
        <v>1</v>
      </c>
      <c r="AR138" s="5">
        <f>COUNTIFS(   D4:D451,"Metodología, historia del conocimiento y la argumentación jurídica. Evaluación legislativa y aplicación del Derecho",K4:K451,"Sí")</f>
        <v>1</v>
      </c>
      <c r="AS138" s="5">
        <f>COUNTIFS(   D4:D451,"Metodología, historia del conocimiento y la argumentación jurídica. Evaluación legislativa y aplicación del Derecho",L4:L451,"Sí")</f>
        <v>2</v>
      </c>
      <c r="AT138" s="5">
        <f>SUMIFS( E4:E451, D4:D451,"Metodología, historia del conocimiento y la argumentación jurídica. Evaluación legislativa y aplicación del Derecho")</f>
        <v>46</v>
      </c>
      <c r="AU138" s="5">
        <f>SUMIFS( E4:E451, F4:F451,"Hombre", D4:D451,"Metodología, historia del conocimiento y la argumentación jurídica. Evaluación legislativa y aplicación del Derecho")</f>
        <v>35</v>
      </c>
      <c r="AV138" s="5">
        <f>SUMIFS( E4:E451, F4:F451,"Mujer", D4:D451,"Metodología, historia del conocimiento y la argumentación jurídica. Evaluación legislativa y aplicación del Derecho")</f>
        <v>11</v>
      </c>
      <c r="AW138" s="29">
        <f>SUMIFS( E4:E451, A4:A451,"2013", D4:D451,"Metodología, historia del conocimiento y la argumentación jurídica. Evaluación legislativa y aplicación del Derecho")</f>
        <v>0</v>
      </c>
      <c r="AX138" s="5">
        <f>SUMIFS( E4:E451, A4:A451,"2014", D4:D451,"Metodología, historia del conocimiento y la argumentación jurídica. Evaluación legislativa y aplicación del Derecho")</f>
        <v>0</v>
      </c>
      <c r="AY138" s="5">
        <f>SUMIFS( E4:E451, A4:A451,"2015", D4:D451,"Metodología, historia del conocimiento y la argumentación jurídica. Evaluación legislativa y aplicación del Derecho")</f>
        <v>0</v>
      </c>
      <c r="AZ138" s="5">
        <f>SUMIFS( E4:E451, A4:A451,"2016", D4:D451,"Metodología, historia del conocimiento y la argumentación jurídica. Evaluación legislativa y aplicación del Derecho")</f>
        <v>11</v>
      </c>
      <c r="BA138" s="5">
        <f>SUMIFS( E4:E451, A4:A451,"2017", D4:D451,"Metodología, historia del conocimiento y la argumentación jurídica. Evaluación legislativa y aplicación del Derecho")</f>
        <v>35</v>
      </c>
      <c r="BB138" s="29">
        <f>SUMIFS( E4:E451, N4:N451,"2014", D4:D451,"Metodología, historia del conocimiento y la argumentación jurídica. Evaluación legislativa y aplicación del Derecho")</f>
        <v>0</v>
      </c>
      <c r="BC138" s="5">
        <f>SUMIFS( E4:E451, N4:N451,"2015", D4:D451,"Metodología, historia del conocimiento y la argumentación jurídica. Evaluación legislativa y aplicación del Derecho")</f>
        <v>0</v>
      </c>
      <c r="BD138" s="5">
        <f>SUMIFS( E4:E451, N4:N451,"2016", D4:D451,"Metodología, historia del conocimiento y la argumentación jurídica. Evaluación legislativa y aplicación del Derecho")</f>
        <v>0</v>
      </c>
      <c r="BE138" s="5">
        <f>SUMIFS( E4:E451, N4:N451,"2017", D4:D451,"Metodología, historia del conocimiento y la argumentación jurídica. Evaluación legislativa y aplicación del Derecho")</f>
        <v>46</v>
      </c>
      <c r="BF138" s="5">
        <f>SUMIFS( E4:E451, N4:N451,"2018", D4:D451,"Metodología, historia del conocimiento y la argumentación jurídica. Evaluación legislativa y aplicación del Derecho")</f>
        <v>0</v>
      </c>
      <c r="BG138" s="23">
        <f>AVERAGEIFS( E4:E451, D4:D451,"Metodología, historia del conocimiento y la argumentación jurídica. Evaluación legislativa y aplicación del Derecho")</f>
        <v>23</v>
      </c>
      <c r="BH138" s="23">
        <v>0</v>
      </c>
      <c r="BI138" s="23">
        <v>0</v>
      </c>
      <c r="BJ138" s="23">
        <v>0</v>
      </c>
      <c r="BK138" s="23">
        <f>AVERAGEIFS( E4:E451, A4:A451,"2016", D4:D451,"Metodología, historia del conocimiento y la argumentación jurídica. Evaluación legislativa y aplicación del Derecho")</f>
        <v>11</v>
      </c>
      <c r="BL138" s="23">
        <f>AVERAGEIFS( E4:E451, A4:A451,"2017", D4:D451,"Metodología, historia del conocimiento y la argumentación jurídica. Evaluación legislativa y aplicación del Derecho")</f>
        <v>35</v>
      </c>
      <c r="BM138" s="23">
        <v>23</v>
      </c>
      <c r="BN138" s="23">
        <v>0</v>
      </c>
      <c r="BO138" s="23">
        <v>0</v>
      </c>
      <c r="BP138" s="23">
        <v>0</v>
      </c>
      <c r="BQ138" s="23">
        <v>11</v>
      </c>
      <c r="BR138" s="23">
        <v>35</v>
      </c>
    </row>
    <row r="139" spans="1:70" ht="15" customHeight="1" x14ac:dyDescent="0.25">
      <c r="A139">
        <v>2017</v>
      </c>
      <c r="B139" t="s">
        <v>4</v>
      </c>
      <c r="C139" t="s">
        <v>207</v>
      </c>
      <c r="D139" t="s">
        <v>42</v>
      </c>
      <c r="E139">
        <v>6</v>
      </c>
      <c r="F139" s="16" t="s">
        <v>211</v>
      </c>
      <c r="G139" t="s">
        <v>233</v>
      </c>
      <c r="H139" s="16" t="s">
        <v>234</v>
      </c>
      <c r="I139" t="s">
        <v>234</v>
      </c>
      <c r="J139" t="s">
        <v>234</v>
      </c>
      <c r="K139" t="s">
        <v>234</v>
      </c>
      <c r="L139" t="s">
        <v>234</v>
      </c>
      <c r="M139" s="14">
        <v>43157</v>
      </c>
      <c r="N139" s="14" t="str">
        <f t="shared" si="2"/>
        <v>2018</v>
      </c>
      <c r="O139" s="55" t="s">
        <v>161</v>
      </c>
      <c r="P139" s="56"/>
      <c r="Q139" s="56"/>
      <c r="R139" s="56"/>
      <c r="S139" s="56"/>
      <c r="T139" s="57"/>
      <c r="U139" s="5">
        <f>COUNTIFS(   D4:D451,"Modelos de Estado, Derechos Fundamentales. Tutela judicial de derechos")</f>
        <v>2</v>
      </c>
      <c r="V139" s="5">
        <f>COUNTIFS(   D4:D451,"Modelos de Estado, Derechos Fundamentales. Tutela judicial de derechos",F4:F451,"Hombre")</f>
        <v>1</v>
      </c>
      <c r="W139" s="5">
        <f>COUNTIFS(   D4:D451,"Modelos de Estado, Derechos Fundamentales. Tutela judicial de derechos",F4:F451,"Mujer")</f>
        <v>1</v>
      </c>
      <c r="X139" s="29">
        <f>COUNTIFS(   A4:A451,"2013", D4:D451,"Modelos de Estado, Derechos Fundamentales. Tutela judicial de derechos")</f>
        <v>0</v>
      </c>
      <c r="Y139" s="5">
        <f>COUNTIFS(   A4:A451,"2014", D4:D451,"Modelos de Estado, Derechos Fundamentales. Tutela judicial de derechos")</f>
        <v>0</v>
      </c>
      <c r="Z139" s="5">
        <f>COUNTIFS(   A4:A451,"2015", D4:D451,"Modelos de Estado, Derechos Fundamentales. Tutela judicial de derechos")</f>
        <v>0</v>
      </c>
      <c r="AA139" s="5">
        <f>COUNTIFS(   A4:A451,"2016", D4:D451,"Modelos de Estado, Derechos Fundamentales. Tutela judicial de derechos")</f>
        <v>2</v>
      </c>
      <c r="AB139" s="5">
        <f>COUNTIFS(   A4:A451,"2017", D4:D451,"Modelos de Estado, Derechos Fundamentales. Tutela judicial de derechos")</f>
        <v>0</v>
      </c>
      <c r="AC139" s="29">
        <f>COUNTIFS(   N4:N451,"2014", D4:D451,"Modelos de Estado, Derechos Fundamentales. Tutela judicial de derechos")</f>
        <v>0</v>
      </c>
      <c r="AD139" s="5">
        <f>COUNTIFS(   N4:N451,"2015", D4:D451,"Modelos de Estado, Derechos Fundamentales. Tutela judicial de derechos")</f>
        <v>0</v>
      </c>
      <c r="AE139" s="5">
        <f>COUNTIFS(   N4:N451,"2016", D4:D451,"Modelos de Estado, Derechos Fundamentales. Tutela judicial de derechos")</f>
        <v>0</v>
      </c>
      <c r="AF139" s="5">
        <f>COUNTIFS(   N4:N451,"2017", D4:D451,"Modelos de Estado, Derechos Fundamentales. Tutela judicial de derechos")</f>
        <v>2</v>
      </c>
      <c r="AG139" s="5">
        <f>COUNTIFS(   N4:N451,"2018", D4:D451,"Modelos de Estado, Derechos Fundamentales. Tutela judicial de derechos")</f>
        <v>0</v>
      </c>
      <c r="AH139" s="5">
        <f>COUNTIFS(   D4:D451,"Modelos de Estado, Derechos Fundamentales. Tutela judicial de derechos",G4:G451,"Sí")</f>
        <v>0</v>
      </c>
      <c r="AI139" s="5">
        <f>COUNTIFS(   D4:D451,"Modelos de Estado, Derechos Fundamentales. Tutela judicial de derechos",G4:G451,"No")</f>
        <v>2</v>
      </c>
      <c r="AJ139" s="5">
        <f>SUMIFS( E4:E451, D4:D451,"Modelos de Estado, Derechos Fundamentales. Tutela judicial de derechos",G4:G451,"Sí")</f>
        <v>0</v>
      </c>
      <c r="AK139" s="5">
        <f>SUMIFS( E4:E451, D4:D451,"Modelos de Estado, Derechos Fundamentales. Tutela judicial de derechos",G4:G451,"No")</f>
        <v>3</v>
      </c>
      <c r="AL139" s="5">
        <f>COUNTIFS(   D4:D451,"Modelos de Estado, Derechos Fundamentales. Tutela judicial de derechos",H4:H451,"Sí")</f>
        <v>0</v>
      </c>
      <c r="AM139" s="5">
        <f>COUNTIFS(   D4:D451,"Modelos de Estado, Derechos Fundamentales. Tutela judicial de derechos",I4:I451,"Sí")</f>
        <v>0</v>
      </c>
      <c r="AN139" s="5">
        <f>COUNTIFS(   D4:D451,"Modelos de Estado, Derechos Fundamentales. Tutela judicial de derechos",I4:I451,"No")</f>
        <v>2</v>
      </c>
      <c r="AO139" s="5">
        <f>SUMIFS( E4:E451, D4:D451,"Modelos de Estado, Derechos Fundamentales. Tutela judicial de derechos",I4:I451,"Sí")</f>
        <v>0</v>
      </c>
      <c r="AP139" s="5">
        <f>SUMIFS( E4:E451, D4:D451,"Modelos de Estado, Derechos Fundamentales. Tutela judicial de derechos",I4:I451,"No")</f>
        <v>3</v>
      </c>
      <c r="AQ139" s="5">
        <f>COUNTIFS(   D4:D451,"Modelos de Estado, Derechos Fundamentales. Tutela judicial de derechos",J4:J451,"Sí")</f>
        <v>2</v>
      </c>
      <c r="AR139" s="5">
        <f>COUNTIFS(   D4:D451,"Modelos de Estado, Derechos Fundamentales. Tutela judicial de derechos",K4:K451,"Sí")</f>
        <v>0</v>
      </c>
      <c r="AS139" s="5">
        <f>COUNTIFS(   D4:D451,"Modelos de Estado, Derechos Fundamentales. Tutela judicial de derechos",L4:L451,"Sí")</f>
        <v>2</v>
      </c>
      <c r="AT139" s="5">
        <f>SUMIFS( E4:E451, D4:D451,"Modelos de Estado, Derechos Fundamentales. Tutela judicial de derechos")</f>
        <v>3</v>
      </c>
      <c r="AU139" s="5">
        <f>SUMIFS( E4:E451, F4:F451,"Hombre", D4:D451,"Modelos de Estado, Derechos Fundamentales. Tutela judicial de derechos")</f>
        <v>2</v>
      </c>
      <c r="AV139" s="5">
        <f>SUMIFS( E4:E451, F4:F451,"Mujer", D4:D451,"Modelos de Estado, Derechos Fundamentales. Tutela judicial de derechos")</f>
        <v>1</v>
      </c>
      <c r="AW139" s="29">
        <f>SUMIFS( E4:E451, A4:A451,"2013", D4:D451,"Modelos de Estado, Derechos Fundamentales. Tutela judicial de derechos")</f>
        <v>0</v>
      </c>
      <c r="AX139" s="5">
        <f>SUMIFS( E4:E451, A4:A451,"2014", D4:D451,"Modelos de Estado, Derechos Fundamentales. Tutela judicial de derechos")</f>
        <v>0</v>
      </c>
      <c r="AY139" s="5">
        <f>SUMIFS( E4:E451, A4:A451,"2015", D4:D451,"Modelos de Estado, Derechos Fundamentales. Tutela judicial de derechos")</f>
        <v>0</v>
      </c>
      <c r="AZ139" s="5">
        <f>SUMIFS( E4:E451, A4:A451,"2016", D4:D451,"Modelos de Estado, Derechos Fundamentales. Tutela judicial de derechos")</f>
        <v>3</v>
      </c>
      <c r="BA139" s="5">
        <f>SUMIFS( E4:E451, A4:A451,"2017", D4:D451,"Modelos de Estado, Derechos Fundamentales. Tutela judicial de derechos")</f>
        <v>0</v>
      </c>
      <c r="BB139" s="29">
        <f>SUMIFS( E4:E451, N4:N451,"2014", D4:D451,"Modelos de Estado, Derechos Fundamentales. Tutela judicial de derechos")</f>
        <v>0</v>
      </c>
      <c r="BC139" s="5">
        <f>SUMIFS( E4:E451, N4:N451,"2015", D4:D451,"Modelos de Estado, Derechos Fundamentales. Tutela judicial de derechos")</f>
        <v>0</v>
      </c>
      <c r="BD139" s="5">
        <f>SUMIFS( E4:E451, N4:N451,"2016", D4:D451,"Modelos de Estado, Derechos Fundamentales. Tutela judicial de derechos")</f>
        <v>0</v>
      </c>
      <c r="BE139" s="5">
        <f>SUMIFS( E4:E451, N4:N451,"2017", D4:D451,"Modelos de Estado, Derechos Fundamentales. Tutela judicial de derechos")</f>
        <v>3</v>
      </c>
      <c r="BF139" s="5">
        <f>SUMIFS( E4:E451, N4:N451,"2018", D4:D451,"Modelos de Estado, Derechos Fundamentales. Tutela judicial de derechos")</f>
        <v>0</v>
      </c>
      <c r="BG139" s="23">
        <f>AVERAGEIFS( E4:E451, D4:D451,"Modelos de Estado, Derechos Fundamentales. Tutela judicial de derechos")</f>
        <v>1.5</v>
      </c>
      <c r="BH139" s="23">
        <v>0</v>
      </c>
      <c r="BI139" s="23">
        <v>0</v>
      </c>
      <c r="BJ139" s="23">
        <v>0</v>
      </c>
      <c r="BK139" s="23">
        <f>AVERAGEIFS( E4:E451, A4:A451,"2016", D4:D451,"Modelos de Estado, Derechos Fundamentales. Tutela judicial de derechos")</f>
        <v>1.5</v>
      </c>
      <c r="BL139" s="23">
        <v>0</v>
      </c>
      <c r="BM139" s="23">
        <v>1.5</v>
      </c>
      <c r="BN139" s="23">
        <v>0</v>
      </c>
      <c r="BO139" s="23">
        <v>0</v>
      </c>
      <c r="BP139" s="23">
        <v>0</v>
      </c>
      <c r="BQ139" s="23">
        <v>1.5</v>
      </c>
      <c r="BR139" s="23">
        <v>0</v>
      </c>
    </row>
    <row r="140" spans="1:70" ht="15" customHeight="1" x14ac:dyDescent="0.25">
      <c r="A140">
        <v>2017</v>
      </c>
      <c r="B140" t="s">
        <v>4</v>
      </c>
      <c r="C140" t="s">
        <v>207</v>
      </c>
      <c r="D140" t="s">
        <v>208</v>
      </c>
      <c r="E140" s="17">
        <v>1</v>
      </c>
      <c r="F140" s="16" t="s">
        <v>215</v>
      </c>
      <c r="G140" t="s">
        <v>233</v>
      </c>
      <c r="H140" s="16" t="s">
        <v>233</v>
      </c>
      <c r="I140" t="s">
        <v>234</v>
      </c>
      <c r="J140" t="s">
        <v>233</v>
      </c>
      <c r="K140" t="s">
        <v>233</v>
      </c>
      <c r="L140" t="s">
        <v>233</v>
      </c>
      <c r="M140" s="14">
        <v>43147</v>
      </c>
      <c r="N140" s="14" t="str">
        <f t="shared" si="2"/>
        <v>2018</v>
      </c>
      <c r="O140" s="6" t="s">
        <v>72</v>
      </c>
      <c r="P140" s="12"/>
      <c r="Q140" s="12"/>
      <c r="R140" s="12"/>
      <c r="S140" s="12"/>
      <c r="T140" s="13"/>
      <c r="U140" s="4">
        <f>COUNTIFS(   C4:C451,"Ciencias Sociales")</f>
        <v>17</v>
      </c>
      <c r="V140" s="4">
        <f>COUNTIFS(   C4:C451,"Ciencias Sociales",F4:F451,"Hombre")</f>
        <v>7</v>
      </c>
      <c r="W140" s="4">
        <f>COUNTIFS(   C4:C451,"Ciencias Sociales",F4:F451,"Mujer")</f>
        <v>10</v>
      </c>
      <c r="X140" s="28">
        <f>COUNTIFS(   A4:A451,"2013", C4:C451,"Ciencias Sociales")</f>
        <v>0</v>
      </c>
      <c r="Y140" s="4">
        <f>COUNTIFS(   A4:A451,"2014", C4:C451,"Ciencias Sociales")</f>
        <v>0</v>
      </c>
      <c r="Z140" s="4">
        <f>COUNTIFS(   A4:A451,"2015", C4:C451,"Ciencias Sociales")</f>
        <v>4</v>
      </c>
      <c r="AA140" s="4">
        <f>COUNTIFS(   A4:A451,"2016", C4:C451,"Ciencias Sociales")</f>
        <v>7</v>
      </c>
      <c r="AB140" s="4">
        <f>COUNTIFS(   A4:A451,"2017", C4:C451,"Ciencias Sociales")</f>
        <v>6</v>
      </c>
      <c r="AC140" s="28">
        <f>COUNTIFS(   N4:N451,"2014", C4:C451,"Ciencias Sociales")</f>
        <v>0</v>
      </c>
      <c r="AD140" s="4">
        <f>COUNTIFS(   N4:N451,"2015", C4:C451,"Ciencias Sociales")</f>
        <v>0</v>
      </c>
      <c r="AE140" s="4">
        <f>COUNTIFS(   N4:N451,"2016", C4:C451,"Ciencias Sociales")</f>
        <v>7</v>
      </c>
      <c r="AF140" s="4">
        <f>COUNTIFS(   N4:N451,"2017", C4:C451,"Ciencias Sociales")</f>
        <v>7</v>
      </c>
      <c r="AG140" s="4">
        <f>COUNTIFS(   N4:N451,"2018", C4:C451,"Ciencias Sociales")</f>
        <v>3</v>
      </c>
      <c r="AH140" s="4">
        <f>COUNTIFS(   C4:C451,"Ciencias Sociales",G4:G451,"Sí")</f>
        <v>1</v>
      </c>
      <c r="AI140" s="4">
        <f>COUNTIFS(   C4:C451,"Ciencias Sociales",G4:G451,"No")</f>
        <v>16</v>
      </c>
      <c r="AJ140" s="4">
        <f>SUMIFS( E4:E451, C4:C451,"Ciencias Sociales",G4:G451,"Sí")</f>
        <v>1</v>
      </c>
      <c r="AK140" s="4">
        <f>SUMIFS( E4:E451, C4:C451,"Ciencias Sociales",G4:G451,"No")</f>
        <v>52</v>
      </c>
      <c r="AL140" s="4">
        <f>COUNTIFS(   C4:C451,"Ciencias Sociales",H4:H451,"Sí")</f>
        <v>1</v>
      </c>
      <c r="AM140" s="4">
        <f>COUNTIFS(   C4:C451,"Ciencias Sociales",I4:I451,"Sí")</f>
        <v>2</v>
      </c>
      <c r="AN140" s="4">
        <f>COUNTIFS(   C4:C451,"Ciencias Sociales",I4:I451,"No")</f>
        <v>15</v>
      </c>
      <c r="AO140" s="4">
        <f>SUMIFS( E4:E451, C4:C451,"Ciencias Sociales",I4:I451,"Sí")</f>
        <v>10</v>
      </c>
      <c r="AP140" s="4">
        <f>SUMIFS( E4:E451, C4:C451,"Ciencias Sociales",I4:I451,"No")</f>
        <v>43</v>
      </c>
      <c r="AQ140" s="4">
        <f>COUNTIFS(   C4:C451,"Ciencias Sociales",J4:J451,"Sí")</f>
        <v>15</v>
      </c>
      <c r="AR140" s="4">
        <f>COUNTIFS(   C4:C451,"Ciencias Sociales",K4:K451,"Sí")</f>
        <v>7</v>
      </c>
      <c r="AS140" s="4">
        <f>COUNTIFS(   C4:C451,"Ciencias Sociales",L4:L451,"Sí")</f>
        <v>17</v>
      </c>
      <c r="AT140" s="4">
        <f>SUMIFS( E4:E451, C4:C451,"Ciencias Sociales")</f>
        <v>53</v>
      </c>
      <c r="AU140" s="4">
        <f>SUMIFS( E4:E451, F4:F451,"Hombre", C4:C451,"Ciencias Sociales")</f>
        <v>11</v>
      </c>
      <c r="AV140" s="4">
        <f>SUMIFS( E4:E451, F4:F451,"Mujer", C4:C451,"Ciencias Sociales")</f>
        <v>42</v>
      </c>
      <c r="AW140" s="28">
        <f>SUMIFS( E4:E451, A4:A451,"2013", C4:C451,"Ciencias Sociales")</f>
        <v>0</v>
      </c>
      <c r="AX140" s="4">
        <f>SUMIFS( E4:E451, A4:A451,"2014", C4:C451,"Ciencias Sociales")</f>
        <v>0</v>
      </c>
      <c r="AY140" s="4">
        <f>SUMIFS( E4:E451, A4:A451,"2015", C4:C451,"Ciencias Sociales")</f>
        <v>16</v>
      </c>
      <c r="AZ140" s="4">
        <f>SUMIFS( E4:E451, A4:A451,"2016", C4:C451,"Ciencias Sociales")</f>
        <v>24</v>
      </c>
      <c r="BA140" s="4">
        <f>SUMIFS( E4:E451, A4:A451,"2017", C4:C451,"Ciencias Sociales")</f>
        <v>13</v>
      </c>
      <c r="BB140" s="28">
        <f>SUMIFS( E4:E451, N4:N451,"2014", C4:C451,"Ciencias Sociales")</f>
        <v>0</v>
      </c>
      <c r="BC140" s="4">
        <f>SUMIFS( E4:E451, N4:N451,"2015", C4:C451,"Ciencias Sociales")</f>
        <v>0</v>
      </c>
      <c r="BD140" s="4">
        <f>SUMIFS( E4:E451, N4:N451,"2016", C4:C451,"Ciencias Sociales")</f>
        <v>28</v>
      </c>
      <c r="BE140" s="4">
        <f>SUMIFS( E4:E451, N4:N451,"2017", C4:C451,"Ciencias Sociales")</f>
        <v>16</v>
      </c>
      <c r="BF140" s="4">
        <f>SUMIFS( E4:E451, N4:N451,"2018", C4:C451,"Ciencias Sociales")</f>
        <v>9</v>
      </c>
      <c r="BG140" s="22">
        <f>AVERAGEIFS( E4:E451, C4:C451,"Ciencias Sociales")</f>
        <v>3.1176470588235294</v>
      </c>
      <c r="BH140" s="22">
        <v>0</v>
      </c>
      <c r="BI140" s="22">
        <v>0</v>
      </c>
      <c r="BJ140" s="22">
        <f>AVERAGEIFS( E4:E451, A4:A451,"2015", C4:C451,"Ciencias Sociales")</f>
        <v>4</v>
      </c>
      <c r="BK140" s="22">
        <f>AVERAGEIFS( E4:E451, A4:A451,"2016", C4:C451,"Ciencias Sociales")</f>
        <v>3.4285714285714284</v>
      </c>
      <c r="BL140" s="22">
        <f>AVERAGEIFS( E4:E451, A4:A451,"2017", C4:C451,"Ciencias Sociales")</f>
        <v>2.1666666666666665</v>
      </c>
      <c r="BM140" s="22">
        <f>AVERAGE(AT141:AT147)</f>
        <v>7.5714285714285712</v>
      </c>
      <c r="BN140" s="22">
        <v>0</v>
      </c>
      <c r="BO140" s="22">
        <v>0</v>
      </c>
      <c r="BP140" s="22">
        <f>AVERAGE(AY141:AY147)</f>
        <v>2.2857142857142856</v>
      </c>
      <c r="BQ140" s="22">
        <f>AVERAGE(AZ141:AZ147)</f>
        <v>3.4285714285714284</v>
      </c>
      <c r="BR140" s="22">
        <f>AVERAGE(BA141:BA147)</f>
        <v>1.8571428571428572</v>
      </c>
    </row>
    <row r="141" spans="1:70" ht="15" customHeight="1" x14ac:dyDescent="0.25">
      <c r="A141">
        <v>2017</v>
      </c>
      <c r="B141" t="s">
        <v>4</v>
      </c>
      <c r="C141" t="s">
        <v>207</v>
      </c>
      <c r="D141" t="s">
        <v>42</v>
      </c>
      <c r="E141">
        <v>2</v>
      </c>
      <c r="F141" s="16" t="s">
        <v>211</v>
      </c>
      <c r="G141" t="s">
        <v>233</v>
      </c>
      <c r="H141" s="16" t="s">
        <v>234</v>
      </c>
      <c r="I141" t="s">
        <v>234</v>
      </c>
      <c r="J141" t="s">
        <v>234</v>
      </c>
      <c r="K141" t="s">
        <v>234</v>
      </c>
      <c r="L141" t="s">
        <v>234</v>
      </c>
      <c r="M141" s="14">
        <v>43136</v>
      </c>
      <c r="N141" s="14" t="str">
        <f t="shared" si="2"/>
        <v>2018</v>
      </c>
      <c r="O141" s="55" t="s">
        <v>165</v>
      </c>
      <c r="P141" s="56"/>
      <c r="Q141" s="56"/>
      <c r="R141" s="56"/>
      <c r="S141" s="56"/>
      <c r="T141" s="57"/>
      <c r="U141" s="5">
        <f>COUNTIFS(   D4:D451,"Antropología de la salud, el cuidado, las adicciones y el cuerpo")</f>
        <v>5</v>
      </c>
      <c r="V141" s="5">
        <f>COUNTIFS(   D4:D451,"Antropología de la salud, el cuidado, las adicciones y el cuerpo",F4:F451,"Hombre")</f>
        <v>2</v>
      </c>
      <c r="W141" s="5">
        <f>COUNTIFS(   D4:D451,"Antropología de la salud, el cuidado, las adicciones y el cuerpo",F4:F451,"Mujer")</f>
        <v>3</v>
      </c>
      <c r="X141" s="29">
        <f>COUNTIFS(   A4:A451,"2013", D4:D451,"Antropología de la salud, el cuidado, las adicciones y el cuerpo")</f>
        <v>0</v>
      </c>
      <c r="Y141" s="5">
        <f>COUNTIFS(   A4:A451,"2014", D4:D451,"Antropología de la salud, el cuidado, las adicciones y el cuerpo")</f>
        <v>0</v>
      </c>
      <c r="Z141" s="5">
        <f>COUNTIFS(   A4:A451,"2015", D4:D451,"Antropología de la salud, el cuidado, las adicciones y el cuerpo")</f>
        <v>0</v>
      </c>
      <c r="AA141" s="5">
        <f>COUNTIFS(   A4:A451,"2016", D4:D451,"Antropología de la salud, el cuidado, las adicciones y el cuerpo")</f>
        <v>3</v>
      </c>
      <c r="AB141" s="5">
        <f>COUNTIFS(   A4:A451,"2017", D4:D451,"Antropología de la salud, el cuidado, las adicciones y el cuerpo")</f>
        <v>2</v>
      </c>
      <c r="AC141" s="29">
        <f>COUNTIFS(   N4:N451,"2014", D4:D451,"Antropología de la salud, el cuidado, las adicciones y el cuerpo")</f>
        <v>0</v>
      </c>
      <c r="AD141" s="5">
        <f>COUNTIFS(   N4:N451,"2015", D4:D451,"Antropología de la salud, el cuidado, las adicciones y el cuerpo")</f>
        <v>0</v>
      </c>
      <c r="AE141" s="5">
        <f>COUNTIFS(   N4:N451,"2016", D4:D451,"Antropología de la salud, el cuidado, las adicciones y el cuerpo")</f>
        <v>1</v>
      </c>
      <c r="AF141" s="5">
        <f>COUNTIFS(   N4:N451,"2017", D4:D451,"Antropología de la salud, el cuidado, las adicciones y el cuerpo")</f>
        <v>3</v>
      </c>
      <c r="AG141" s="5">
        <f>COUNTIFS(   N4:N451,"2018", D4:D451,"Antropología de la salud, el cuidado, las adicciones y el cuerpo")</f>
        <v>1</v>
      </c>
      <c r="AH141" s="5">
        <f>COUNTIFS(   D4:D451,"Antropología de la salud, el cuidado, las adicciones y el cuerpo",G4:G451,"Sí")</f>
        <v>0</v>
      </c>
      <c r="AI141" s="5">
        <f>COUNTIFS(   D4:D451,"Antropología de la salud, el cuidado, las adicciones y el cuerpo",G4:G451,"No")</f>
        <v>5</v>
      </c>
      <c r="AJ141" s="5">
        <f>SUMIFS( E4:E451, D4:D451,"Antropología de la salud, el cuidado, las adicciones y el cuerpo",G4:G451,"Sí")</f>
        <v>0</v>
      </c>
      <c r="AK141" s="5">
        <f>SUMIFS( E4:E451, D4:D451,"Antropología de la salud, el cuidado, las adicciones y el cuerpo",G4:G451,"No")</f>
        <v>16</v>
      </c>
      <c r="AL141" s="5">
        <f>COUNTIFS(   D4:D451,"Antropología de la salud, el cuidado, las adicciones y el cuerpo",H4:H451,"Sí")</f>
        <v>0</v>
      </c>
      <c r="AM141" s="5">
        <f>COUNTIFS(   D4:D451,"Antropología de la salud, el cuidado, las adicciones y el cuerpo",I4:I451,"Sí")</f>
        <v>1</v>
      </c>
      <c r="AN141" s="5">
        <f>COUNTIFS(   D4:D451,"Antropología de la salud, el cuidado, las adicciones y el cuerpo",I4:I451,"No")</f>
        <v>4</v>
      </c>
      <c r="AO141" s="5">
        <f>SUMIFS( E4:E451, D4:D451,"Antropología de la salud, el cuidado, las adicciones y el cuerpo",I4:I451,"Sí")</f>
        <v>5</v>
      </c>
      <c r="AP141" s="5">
        <f>SUMIFS( E4:E451, D4:D451,"Antropología de la salud, el cuidado, las adicciones y el cuerpo",I4:I451,"No")</f>
        <v>11</v>
      </c>
      <c r="AQ141" s="5">
        <f>COUNTIFS(   D4:D451,"Antropología de la salud, el cuidado, las adicciones y el cuerpo",J4:J451,"Sí")</f>
        <v>4</v>
      </c>
      <c r="AR141" s="5">
        <f>COUNTIFS(   D4:D451,"Antropología de la salud, el cuidado, las adicciones y el cuerpo",K4:K451,"Sí")</f>
        <v>3</v>
      </c>
      <c r="AS141" s="5">
        <f>COUNTIFS(   D4:D451,"Antropología de la salud, el cuidado, las adicciones y el cuerpo",L4:L451,"Sí")</f>
        <v>5</v>
      </c>
      <c r="AT141" s="5">
        <f>SUMIFS( E4:E451, D4:D451,"Antropología de la salud, el cuidado, las adicciones y el cuerpo")</f>
        <v>16</v>
      </c>
      <c r="AU141" s="5">
        <f>SUMIFS( E4:E451, F4:F451,"Hombre", D4:D451,"Antropología de la salud, el cuidado, las adicciones y el cuerpo")</f>
        <v>2</v>
      </c>
      <c r="AV141" s="5">
        <f>SUMIFS( E4:E451, F4:F451,"Mujer", D4:D451,"Antropología de la salud, el cuidado, las adicciones y el cuerpo")</f>
        <v>14</v>
      </c>
      <c r="AW141" s="29">
        <f>SUMIFS( E4:E451, A4:A451,"2013", D4:D451,"Antropología de la salud, el cuidado, las adicciones y el cuerpo")</f>
        <v>0</v>
      </c>
      <c r="AX141" s="5">
        <f>SUMIFS( E4:E451, A4:A451,"2014", D4:D451,"Antropología de la salud, el cuidado, las adicciones y el cuerpo")</f>
        <v>0</v>
      </c>
      <c r="AY141" s="5">
        <f>SUMIFS( E4:E451, A4:A451,"2015", D4:D451,"Antropología de la salud, el cuidado, las adicciones y el cuerpo")</f>
        <v>0</v>
      </c>
      <c r="AZ141" s="5">
        <f>SUMIFS( E4:E451, A4:A451,"2016", D4:D451,"Antropología de la salud, el cuidado, las adicciones y el cuerpo")</f>
        <v>13</v>
      </c>
      <c r="BA141" s="5">
        <f>SUMIFS( E4:E451, A4:A451,"2017", D4:D451,"Antropología de la salud, el cuidado, las adicciones y el cuerpo")</f>
        <v>3</v>
      </c>
      <c r="BB141" s="29">
        <f>SUMIFS( E4:E451, N4:N451,"2014", D4:D451,"Antropología de la salud, el cuidado, las adicciones y el cuerpo")</f>
        <v>0</v>
      </c>
      <c r="BC141" s="5">
        <f>SUMIFS( E4:E451, N4:N451,"2015", D4:D451,"Antropología de la salud, el cuidado, las adicciones y el cuerpo")</f>
        <v>0</v>
      </c>
      <c r="BD141" s="5">
        <f>SUMIFS( E4:E451, N4:N451,"2016", D4:D451,"Antropología de la salud, el cuidado, las adicciones y el cuerpo")</f>
        <v>7</v>
      </c>
      <c r="BE141" s="5">
        <f>SUMIFS( E4:E451, N4:N451,"2017", D4:D451,"Antropología de la salud, el cuidado, las adicciones y el cuerpo")</f>
        <v>8</v>
      </c>
      <c r="BF141" s="5">
        <f>SUMIFS( E4:E451, N4:N451,"2018", D4:D451,"Antropología de la salud, el cuidado, las adicciones y el cuerpo")</f>
        <v>1</v>
      </c>
      <c r="BG141" s="23">
        <f>AVERAGEIFS( E4:E451, D4:D451,"Antropología de la salud, el cuidado, las adicciones y el cuerpo")</f>
        <v>3.2</v>
      </c>
      <c r="BH141" s="23">
        <v>0</v>
      </c>
      <c r="BI141" s="23">
        <v>0</v>
      </c>
      <c r="BJ141" s="23">
        <v>0</v>
      </c>
      <c r="BK141" s="23">
        <f>AVERAGEIFS( E4:E451, A4:A451,"2016", D4:D451,"Antropología de la salud, el cuidado, las adicciones y el cuerpo")</f>
        <v>4.333333333333333</v>
      </c>
      <c r="BL141" s="23">
        <f>AVERAGEIFS( E4:E451, A4:A451,"2017", D4:D451,"Antropología de la salud, el cuidado, las adicciones y el cuerpo")</f>
        <v>1.5</v>
      </c>
      <c r="BM141" s="23">
        <v>3.2</v>
      </c>
      <c r="BN141" s="23">
        <v>0</v>
      </c>
      <c r="BO141" s="23">
        <v>0</v>
      </c>
      <c r="BP141" s="23">
        <v>0</v>
      </c>
      <c r="BQ141" s="23">
        <v>4.333333333333333</v>
      </c>
      <c r="BR141" s="23">
        <v>1.5</v>
      </c>
    </row>
    <row r="142" spans="1:70" ht="15" customHeight="1" x14ac:dyDescent="0.25">
      <c r="A142">
        <v>2017</v>
      </c>
      <c r="B142" t="s">
        <v>4</v>
      </c>
      <c r="C142" t="s">
        <v>207</v>
      </c>
      <c r="D142" t="s">
        <v>39</v>
      </c>
      <c r="E142" s="17">
        <v>6</v>
      </c>
      <c r="F142" s="16" t="s">
        <v>211</v>
      </c>
      <c r="G142" t="s">
        <v>233</v>
      </c>
      <c r="H142" s="16" t="s">
        <v>233</v>
      </c>
      <c r="I142" t="s">
        <v>233</v>
      </c>
      <c r="J142" t="s">
        <v>234</v>
      </c>
      <c r="K142" t="s">
        <v>234</v>
      </c>
      <c r="L142" t="s">
        <v>234</v>
      </c>
      <c r="M142" s="14">
        <v>43129</v>
      </c>
      <c r="N142" s="14" t="str">
        <f t="shared" si="2"/>
        <v>2018</v>
      </c>
      <c r="O142" s="55" t="s">
        <v>163</v>
      </c>
      <c r="P142" s="56"/>
      <c r="Q142" s="56"/>
      <c r="R142" s="56"/>
      <c r="S142" s="56"/>
      <c r="T142" s="57"/>
      <c r="U142" s="5">
        <f>COUNTIFS(   D4:D451,"Ciencia política y de la administración")</f>
        <v>1</v>
      </c>
      <c r="V142" s="5">
        <f>COUNTIFS(   D4:D451,"Ciencia política y de la administración",F4:F451,"Hombre")</f>
        <v>1</v>
      </c>
      <c r="W142" s="5">
        <f>COUNTIFS(   D4:D451,"Ciencia política y de la administración",F4:F451,"Mujer")</f>
        <v>0</v>
      </c>
      <c r="X142" s="29">
        <f>COUNTIFS(   A4:A451,"2013", D4:D451,"Ciencia política y de la administración")</f>
        <v>0</v>
      </c>
      <c r="Y142" s="5">
        <f>COUNTIFS(   A4:A451,"2014", D4:D451,"Ciencia política y de la administración")</f>
        <v>0</v>
      </c>
      <c r="Z142" s="5">
        <f>COUNTIFS(   A4:A451,"2015", D4:D451,"Ciencia política y de la administración")</f>
        <v>0</v>
      </c>
      <c r="AA142" s="5">
        <f>COUNTIFS(   A4:A451,"2016", D4:D451,"Ciencia política y de la administración")</f>
        <v>0</v>
      </c>
      <c r="AB142" s="5">
        <f>COUNTIFS(   A4:A451,"2017", D4:D451,"Ciencia política y de la administración")</f>
        <v>1</v>
      </c>
      <c r="AC142" s="29">
        <f>COUNTIFS(   N4:N451,"2014", D4:D451,"Ciencia política y de la administración")</f>
        <v>0</v>
      </c>
      <c r="AD142" s="5">
        <f>COUNTIFS(   N4:N451,"2015", D4:D451,"Ciencia política y de la administración")</f>
        <v>0</v>
      </c>
      <c r="AE142" s="5">
        <f>COUNTIFS(   N4:N451,"2016", D4:D451,"Ciencia política y de la administración")</f>
        <v>0</v>
      </c>
      <c r="AF142" s="5">
        <f>COUNTIFS(   N4:N451,"2017", D4:D451,"Ciencia política y de la administración")</f>
        <v>0</v>
      </c>
      <c r="AG142" s="5">
        <f>COUNTIFS(   N4:N451,"2018", D4:D451,"Ciencia política y de la administración")</f>
        <v>1</v>
      </c>
      <c r="AH142" s="5">
        <f>COUNTIFS(   D4:D451,"Ciencia política y de la administración",G4:G451,"Sí")</f>
        <v>0</v>
      </c>
      <c r="AI142" s="5">
        <f>COUNTIFS(   D4:D451,"Ciencia política y de la administración",G4:G451,"No")</f>
        <v>1</v>
      </c>
      <c r="AJ142" s="5">
        <f>SUMIFS( E4:E451, D4:D451,"Ciencia política y de la administración",G4:G451,"Sí")</f>
        <v>0</v>
      </c>
      <c r="AK142" s="5">
        <f>SUMIFS( E4:E451, D4:D451,"Ciencia política y de la administración",G4:G451,"No")</f>
        <v>5</v>
      </c>
      <c r="AL142" s="5">
        <f>COUNTIFS(   D4:D451,"Ciencia política y de la administración",H4:H451,"Sí")</f>
        <v>0</v>
      </c>
      <c r="AM142" s="5">
        <f>COUNTIFS(   D4:D451,"Ciencia política y de la administración",I4:I451,"Sí")</f>
        <v>1</v>
      </c>
      <c r="AN142" s="5">
        <f>COUNTIFS(   D4:D451,"Ciencia política y de la administración",I4:I451,"No")</f>
        <v>0</v>
      </c>
      <c r="AO142" s="5">
        <f>SUMIFS( E4:E451, D4:D451,"Ciencia política y de la administración",I4:I451,"Sí")</f>
        <v>5</v>
      </c>
      <c r="AP142" s="5">
        <f>SUMIFS( E4:E451, D4:D451,"Ciencia política y de la administración",I4:I451,"No")</f>
        <v>0</v>
      </c>
      <c r="AQ142" s="5">
        <f>COUNTIFS(   D4:D451,"Ciencia política y de la administración",J4:J451,"Sí")</f>
        <v>0</v>
      </c>
      <c r="AR142" s="5">
        <f>COUNTIFS(   D4:D451,"Ciencia política y de la administración",K4:K451,"Sí")</f>
        <v>0</v>
      </c>
      <c r="AS142" s="5">
        <f>COUNTIFS(   D4:D451,"Ciencia política y de la administración",L4:L451,"Sí")</f>
        <v>1</v>
      </c>
      <c r="AT142" s="5">
        <f>SUMIFS( E4:E451, D4:D451,"Ciencia política y de la administración")</f>
        <v>5</v>
      </c>
      <c r="AU142" s="5">
        <f>SUMIFS( E4:E451, F4:F451,"Hombre", D4:D451,"Ciencia política y de la administración")</f>
        <v>5</v>
      </c>
      <c r="AV142" s="5">
        <f>SUMIFS( E4:E451, F4:F451,"Mujer", D4:D451,"Ciencia política y de la administración")</f>
        <v>0</v>
      </c>
      <c r="AW142" s="29">
        <f>SUMIFS( E4:E451, A4:A451,"2013", D4:D451,"Ciencia política y de la administración")</f>
        <v>0</v>
      </c>
      <c r="AX142" s="5">
        <f>SUMIFS( E4:E451, A4:A451,"2014", D4:D451,"Ciencia política y de la administración")</f>
        <v>0</v>
      </c>
      <c r="AY142" s="5">
        <f>SUMIFS( E4:E451, A4:A451,"2015", D4:D451,"Ciencia política y de la administración")</f>
        <v>0</v>
      </c>
      <c r="AZ142" s="5">
        <f>SUMIFS( E4:E451, A4:A451,"2016", D4:D451,"Ciencia política y de la administración")</f>
        <v>0</v>
      </c>
      <c r="BA142" s="5">
        <f>SUMIFS( E4:E451, A4:A451,"2017", D4:D451,"Ciencia política y de la administración")</f>
        <v>5</v>
      </c>
      <c r="BB142" s="29">
        <f>SUMIFS( E4:E451, N4:N451,"2014", D4:D451,"Ciencia política y de la administración")</f>
        <v>0</v>
      </c>
      <c r="BC142" s="5">
        <f>SUMIFS( E4:E451, N4:N451,"2015", D4:D451,"Ciencia política y de la administración")</f>
        <v>0</v>
      </c>
      <c r="BD142" s="5">
        <f>SUMIFS( E4:E451, N4:N451,"2016", D4:D451,"Ciencia política y de la administración")</f>
        <v>0</v>
      </c>
      <c r="BE142" s="5">
        <f>SUMIFS( E4:E451, N4:N451,"2017", D4:D451,"Ciencia política y de la administración")</f>
        <v>0</v>
      </c>
      <c r="BF142" s="5">
        <f>SUMIFS( E4:E451, N4:N451,"2018", D4:D451,"Ciencia política y de la administración")</f>
        <v>5</v>
      </c>
      <c r="BG142" s="23">
        <f>AVERAGEIFS( E4:E451, D4:D451,"Ciencia política y de la administración")</f>
        <v>5</v>
      </c>
      <c r="BH142" s="23">
        <v>0</v>
      </c>
      <c r="BI142" s="23">
        <v>0</v>
      </c>
      <c r="BJ142" s="23">
        <v>0</v>
      </c>
      <c r="BK142" s="23">
        <v>0</v>
      </c>
      <c r="BL142" s="23">
        <f>AVERAGEIFS( E4:E451, A4:A451,"2017", D4:D451,"Ciencia política y de la administración")</f>
        <v>5</v>
      </c>
      <c r="BM142" s="23">
        <v>5</v>
      </c>
      <c r="BN142" s="23">
        <v>0</v>
      </c>
      <c r="BO142" s="23">
        <v>0</v>
      </c>
      <c r="BP142" s="23">
        <v>0</v>
      </c>
      <c r="BQ142" s="23">
        <v>0</v>
      </c>
      <c r="BR142" s="23">
        <v>5</v>
      </c>
    </row>
    <row r="143" spans="1:70" ht="15" customHeight="1" x14ac:dyDescent="0.25">
      <c r="A143">
        <v>2017</v>
      </c>
      <c r="B143" t="s">
        <v>4</v>
      </c>
      <c r="C143" t="s">
        <v>207</v>
      </c>
      <c r="D143" t="s">
        <v>40</v>
      </c>
      <c r="E143">
        <v>7</v>
      </c>
      <c r="F143" s="16" t="s">
        <v>215</v>
      </c>
      <c r="G143" t="s">
        <v>233</v>
      </c>
      <c r="H143" s="16" t="s">
        <v>234</v>
      </c>
      <c r="I143" t="s">
        <v>234</v>
      </c>
      <c r="J143" t="s">
        <v>234</v>
      </c>
      <c r="K143" t="s">
        <v>233</v>
      </c>
      <c r="L143" t="s">
        <v>234</v>
      </c>
      <c r="M143" s="14">
        <v>43129</v>
      </c>
      <c r="N143" s="14" t="str">
        <f t="shared" si="2"/>
        <v>2018</v>
      </c>
      <c r="O143" s="55" t="s">
        <v>167</v>
      </c>
      <c r="P143" s="56"/>
      <c r="Q143" s="56"/>
      <c r="R143" s="56"/>
      <c r="S143" s="56"/>
      <c r="T143" s="57"/>
      <c r="U143" s="5">
        <f>COUNTIFS(   D4:D451,"Comunicación audiovisual y periodismo")</f>
        <v>3</v>
      </c>
      <c r="V143" s="5">
        <f>COUNTIFS(   D4:D451,"Comunicación audiovisual y periodismo",F4:F451,"Hombre")</f>
        <v>1</v>
      </c>
      <c r="W143" s="5">
        <f>COUNTIFS(   D4:D451,"Comunicación audiovisual y periodismo",F4:F451,"Mujer")</f>
        <v>2</v>
      </c>
      <c r="X143" s="29">
        <f>COUNTIFS(   A4:A451,"2013", D4:D451,"Comunicación audiovisual y periodismo")</f>
        <v>0</v>
      </c>
      <c r="Y143" s="5">
        <f>COUNTIFS(   A4:A451,"2014", D4:D451,"Comunicación audiovisual y periodismo")</f>
        <v>0</v>
      </c>
      <c r="Z143" s="5">
        <f>COUNTIFS(   A4:A451,"2015", D4:D451,"Comunicación audiovisual y periodismo")</f>
        <v>0</v>
      </c>
      <c r="AA143" s="5">
        <f>COUNTIFS(   A4:A451,"2016", D4:D451,"Comunicación audiovisual y periodismo")</f>
        <v>3</v>
      </c>
      <c r="AB143" s="5">
        <f>COUNTIFS(   A4:A451,"2017", D4:D451,"Comunicación audiovisual y periodismo")</f>
        <v>0</v>
      </c>
      <c r="AC143" s="29">
        <f>COUNTIFS(   N4:N451,"2014", D4:D451,"Comunicación audiovisual y periodismo")</f>
        <v>0</v>
      </c>
      <c r="AD143" s="5">
        <f>COUNTIFS(   N4:N451,"2015", D4:D451,"Comunicación audiovisual y periodismo")</f>
        <v>0</v>
      </c>
      <c r="AE143" s="5">
        <f>COUNTIFS(   N4:N451,"2016", D4:D451,"Comunicación audiovisual y periodismo")</f>
        <v>1</v>
      </c>
      <c r="AF143" s="5">
        <f>COUNTIFS(   N4:N451,"2017", D4:D451,"Comunicación audiovisual y periodismo")</f>
        <v>2</v>
      </c>
      <c r="AG143" s="5">
        <f>COUNTIFS(   N4:N451,"2018", D4:D451,"Comunicación audiovisual y periodismo")</f>
        <v>0</v>
      </c>
      <c r="AH143" s="5">
        <f>COUNTIFS(   D4:D451,"Comunicación audiovisual y periodismo",G4:G451,"Sí")</f>
        <v>0</v>
      </c>
      <c r="AI143" s="5">
        <f>COUNTIFS(   D4:D451,"Comunicación audiovisual y periodismo",G4:G451,"No")</f>
        <v>3</v>
      </c>
      <c r="AJ143" s="5">
        <f>SUMIFS( E4:E451, D4:D451,"Comunicación audiovisual y periodismo",G4:G451,"Sí")</f>
        <v>0</v>
      </c>
      <c r="AK143" s="5">
        <f>SUMIFS( E4:E451, D4:D451,"Comunicación audiovisual y periodismo",G4:G451,"No")</f>
        <v>8</v>
      </c>
      <c r="AL143" s="5">
        <f>COUNTIFS(   D4:D451,"Comunicación audiovisual y periodismo",H4:H451,"Sí")</f>
        <v>0</v>
      </c>
      <c r="AM143" s="5">
        <f>COUNTIFS(   D4:D451,"Comunicación audiovisual y periodismo",I4:I451,"Sí")</f>
        <v>0</v>
      </c>
      <c r="AN143" s="5">
        <f>COUNTIFS(   D4:D451,"Comunicación audiovisual y periodismo",I4:I451,"No")</f>
        <v>3</v>
      </c>
      <c r="AO143" s="5">
        <f>SUMIFS( E4:E451, D4:D451,"Comunicación audiovisual y periodismo",I4:I451,"Sí")</f>
        <v>0</v>
      </c>
      <c r="AP143" s="5">
        <f>SUMIFS( E4:E451, D4:D451,"Comunicación audiovisual y periodismo",I4:I451,"No")</f>
        <v>8</v>
      </c>
      <c r="AQ143" s="5">
        <f>COUNTIFS(   D4:D451,"Comunicación audiovisual y periodismo",J4:J451,"Sí")</f>
        <v>3</v>
      </c>
      <c r="AR143" s="5">
        <f>COUNTIFS(   D4:D451,"Comunicación audiovisual y periodismo",K4:K451,"Sí")</f>
        <v>0</v>
      </c>
      <c r="AS143" s="5">
        <f>COUNTIFS(   D4:D451,"Comunicación audiovisual y periodismo",L4:L451,"Sí")</f>
        <v>3</v>
      </c>
      <c r="AT143" s="5">
        <f>SUMIFS( E4:E451, D4:D451,"Comunicación audiovisual y periodismo")</f>
        <v>8</v>
      </c>
      <c r="AU143" s="5">
        <f>SUMIFS( E4:E451, F4:F451,"Hombre", D4:D451,"Comunicación audiovisual y periodismo")</f>
        <v>1</v>
      </c>
      <c r="AV143" s="5">
        <f>SUMIFS( E4:E451, F4:F451,"Mujer", D4:D451,"Comunicación audiovisual y periodismo")</f>
        <v>7</v>
      </c>
      <c r="AW143" s="29">
        <f>SUMIFS( E4:E451, A4:A451,"2013", D4:D451,"Comunicación audiovisual y periodismo")</f>
        <v>0</v>
      </c>
      <c r="AX143" s="5">
        <f>SUMIFS( E4:E451, A4:A451,"2014", D4:D451,"Comunicación audiovisual y periodismo")</f>
        <v>0</v>
      </c>
      <c r="AY143" s="5">
        <f>SUMIFS( E4:E451, A4:A451,"2015", D4:D451,"Comunicación audiovisual y periodismo")</f>
        <v>0</v>
      </c>
      <c r="AZ143" s="5">
        <f>SUMIFS( E4:E451, A4:A451,"2016", D4:D451,"Comunicación audiovisual y periodismo")</f>
        <v>8</v>
      </c>
      <c r="BA143" s="5">
        <f>SUMIFS( E4:E451, A4:A451,"2017", D4:D451,"Comunicación audiovisual y periodismo")</f>
        <v>0</v>
      </c>
      <c r="BB143" s="29">
        <f>SUMIFS( E4:E451, N4:N451,"2014", D4:D451,"Comunicación audiovisual y periodismo")</f>
        <v>0</v>
      </c>
      <c r="BC143" s="5">
        <f>SUMIFS( E4:E451, N4:N451,"2015", D4:D451,"Comunicación audiovisual y periodismo")</f>
        <v>0</v>
      </c>
      <c r="BD143" s="5">
        <f>SUMIFS( E4:E451, N4:N451,"2016", D4:D451,"Comunicación audiovisual y periodismo")</f>
        <v>2</v>
      </c>
      <c r="BE143" s="5">
        <f>SUMIFS( E4:E451, N4:N451,"2017", D4:D451,"Comunicación audiovisual y periodismo")</f>
        <v>6</v>
      </c>
      <c r="BF143" s="5">
        <f>SUMIFS( E4:E451, N4:N451,"2018", D4:D451,"Comunicación audiovisual y periodismo")</f>
        <v>0</v>
      </c>
      <c r="BG143" s="23">
        <f>AVERAGEIFS( E4:E451, D4:D451,"Comunicación audiovisual y periodismo")</f>
        <v>2.6666666666666665</v>
      </c>
      <c r="BH143" s="23">
        <v>0</v>
      </c>
      <c r="BI143" s="23">
        <v>0</v>
      </c>
      <c r="BJ143" s="23">
        <v>0</v>
      </c>
      <c r="BK143" s="23">
        <f>AVERAGEIFS( E4:E451, A4:A451,"2016", D4:D451,"Comunicación audiovisual y periodismo")</f>
        <v>2.6666666666666665</v>
      </c>
      <c r="BL143" s="23">
        <v>0</v>
      </c>
      <c r="BM143" s="23">
        <v>2.6666666666666665</v>
      </c>
      <c r="BN143" s="23">
        <v>0</v>
      </c>
      <c r="BO143" s="23">
        <v>0</v>
      </c>
      <c r="BP143" s="23">
        <v>0</v>
      </c>
      <c r="BQ143" s="23">
        <v>2.6666666666666665</v>
      </c>
      <c r="BR143" s="23">
        <v>0</v>
      </c>
    </row>
    <row r="144" spans="1:70" ht="15" customHeight="1" x14ac:dyDescent="0.25">
      <c r="A144">
        <v>2017</v>
      </c>
      <c r="B144" t="s">
        <v>4</v>
      </c>
      <c r="C144" t="s">
        <v>207</v>
      </c>
      <c r="D144" t="s">
        <v>40</v>
      </c>
      <c r="E144">
        <v>7</v>
      </c>
      <c r="F144" s="16" t="s">
        <v>215</v>
      </c>
      <c r="G144" t="s">
        <v>234</v>
      </c>
      <c r="H144" s="16" t="s">
        <v>233</v>
      </c>
      <c r="I144" t="s">
        <v>233</v>
      </c>
      <c r="J144" t="s">
        <v>234</v>
      </c>
      <c r="K144" t="s">
        <v>233</v>
      </c>
      <c r="L144" t="s">
        <v>234</v>
      </c>
      <c r="M144" s="14">
        <v>43088</v>
      </c>
      <c r="N144" s="14" t="str">
        <f t="shared" si="2"/>
        <v>2017</v>
      </c>
      <c r="O144" s="55" t="s">
        <v>166</v>
      </c>
      <c r="P144" s="56"/>
      <c r="Q144" s="56"/>
      <c r="R144" s="56"/>
      <c r="S144" s="56"/>
      <c r="T144" s="57"/>
      <c r="U144" s="5">
        <f>COUNTIFS(   D4:D451,"Cultura de paz")</f>
        <v>2</v>
      </c>
      <c r="V144" s="5">
        <f>COUNTIFS(   D4:D451,"Cultura de paz",F4:F451,"Hombre")</f>
        <v>1</v>
      </c>
      <c r="W144" s="5">
        <f>COUNTIFS(   D4:D451,"Cultura de paz",F4:F451,"Mujer")</f>
        <v>1</v>
      </c>
      <c r="X144" s="29">
        <f>COUNTIFS(   A4:A451,"2013", D4:D451,"Cultura de paz")</f>
        <v>0</v>
      </c>
      <c r="Y144" s="5">
        <f>COUNTIFS(   A4:A451,"2014", D4:D451,"Cultura de paz")</f>
        <v>0</v>
      </c>
      <c r="Z144" s="5">
        <f>COUNTIFS(   A4:A451,"2015", D4:D451,"Cultura de paz")</f>
        <v>0</v>
      </c>
      <c r="AA144" s="5">
        <f>COUNTIFS(   A4:A451,"2016", D4:D451,"Cultura de paz")</f>
        <v>1</v>
      </c>
      <c r="AB144" s="5">
        <f>COUNTIFS(   A4:A451,"2017", D4:D451,"Cultura de paz")</f>
        <v>1</v>
      </c>
      <c r="AC144" s="29">
        <f>COUNTIFS(   N4:N451,"2014", D4:D451,"Cultura de paz")</f>
        <v>0</v>
      </c>
      <c r="AD144" s="5">
        <f>COUNTIFS(   N4:N451,"2015", D4:D451,"Cultura de paz")</f>
        <v>0</v>
      </c>
      <c r="AE144" s="5">
        <f>COUNTIFS(   N4:N451,"2016", D4:D451,"Cultura de paz")</f>
        <v>1</v>
      </c>
      <c r="AF144" s="5">
        <f>COUNTIFS(   N4:N451,"2017", D4:D451,"Cultura de paz")</f>
        <v>1</v>
      </c>
      <c r="AG144" s="5">
        <f>COUNTIFS(   N4:N451,"2018", D4:D451,"Cultura de paz")</f>
        <v>0</v>
      </c>
      <c r="AH144" s="5">
        <f>COUNTIFS(   D4:D451,"Cultura de paz",G4:G451,"Sí")</f>
        <v>0</v>
      </c>
      <c r="AI144" s="5">
        <f>COUNTIFS(   D4:D451,"Cultura de paz",G4:G451,"No")</f>
        <v>2</v>
      </c>
      <c r="AJ144" s="5">
        <f>SUMIFS( E4:E451, D4:D451,"Cultura de paz",G4:G451,"Sí")</f>
        <v>0</v>
      </c>
      <c r="AK144" s="5">
        <f>SUMIFS( E4:E451, D4:D451,"Cultura de paz",G4:G451,"No")</f>
        <v>4</v>
      </c>
      <c r="AL144" s="5">
        <f>COUNTIFS(   D4:D451,"Cultura de paz",H4:H451,"Sí")</f>
        <v>0</v>
      </c>
      <c r="AM144" s="5">
        <f>COUNTIFS(   D4:D451,"Cultura de paz",I4:I451,"Sí")</f>
        <v>0</v>
      </c>
      <c r="AN144" s="5">
        <f>COUNTIFS(   D4:D451,"Cultura de paz",I4:I451,"No")</f>
        <v>2</v>
      </c>
      <c r="AO144" s="5">
        <f>SUMIFS( E4:E451, D4:D451,"Cultura de paz",I4:I451,"Sí")</f>
        <v>0</v>
      </c>
      <c r="AP144" s="5">
        <f>SUMIFS( E4:E451, D4:D451,"Cultura de paz",I4:I451,"No")</f>
        <v>4</v>
      </c>
      <c r="AQ144" s="5">
        <f>COUNTIFS(   D4:D451,"Cultura de paz",J4:J451,"Sí")</f>
        <v>2</v>
      </c>
      <c r="AR144" s="5">
        <f>COUNTIFS(   D4:D451,"Cultura de paz",K4:K451,"Sí")</f>
        <v>1</v>
      </c>
      <c r="AS144" s="5">
        <f>COUNTIFS(   D4:D451,"Cultura de paz",L4:L451,"Sí")</f>
        <v>2</v>
      </c>
      <c r="AT144" s="5">
        <f>SUMIFS( E4:E451, D4:D451,"Cultura de paz")</f>
        <v>4</v>
      </c>
      <c r="AU144" s="5">
        <f>SUMIFS( E4:E451, F4:F451,"Hombre", D4:D451,"Cultura de paz")</f>
        <v>1</v>
      </c>
      <c r="AV144" s="5">
        <f>SUMIFS( E4:E451, F4:F451,"Mujer", D4:D451,"Cultura de paz")</f>
        <v>3</v>
      </c>
      <c r="AW144" s="29">
        <f>SUMIFS( E4:E451, A4:A451,"2013", D4:D451,"Cultura de paz")</f>
        <v>0</v>
      </c>
      <c r="AX144" s="5">
        <f>SUMIFS( E4:E451, A4:A451,"2014", D4:D451,"Cultura de paz")</f>
        <v>0</v>
      </c>
      <c r="AY144" s="5">
        <f>SUMIFS( E4:E451, A4:A451,"2015", D4:D451,"Cultura de paz")</f>
        <v>0</v>
      </c>
      <c r="AZ144" s="5">
        <f>SUMIFS( E4:E451, A4:A451,"2016", D4:D451,"Cultura de paz")</f>
        <v>3</v>
      </c>
      <c r="BA144" s="5">
        <f>SUMIFS( E4:E451, A4:A451,"2017", D4:D451,"Cultura de paz")</f>
        <v>1</v>
      </c>
      <c r="BB144" s="29">
        <f>SUMIFS( E4:E451, N4:N451,"2014", D4:D451,"Cultura de paz")</f>
        <v>0</v>
      </c>
      <c r="BC144" s="5">
        <f>SUMIFS( E4:E451, N4:N451,"2015", D4:D451,"Cultura de paz")</f>
        <v>0</v>
      </c>
      <c r="BD144" s="5">
        <f>SUMIFS( E4:E451, N4:N451,"2016", D4:D451,"Cultura de paz")</f>
        <v>3</v>
      </c>
      <c r="BE144" s="5">
        <f>SUMIFS( E4:E451, N4:N451,"2017", D4:D451,"Cultura de paz")</f>
        <v>1</v>
      </c>
      <c r="BF144" s="5">
        <f>SUMIFS( E4:E451, N4:N451,"2018", D4:D451,"Cultura de paz")</f>
        <v>0</v>
      </c>
      <c r="BG144" s="23">
        <f>AVERAGEIFS( E4:E451, D4:D451,"Cultura de paz")</f>
        <v>2</v>
      </c>
      <c r="BH144" s="23">
        <v>0</v>
      </c>
      <c r="BI144" s="23">
        <v>0</v>
      </c>
      <c r="BJ144" s="23">
        <v>0</v>
      </c>
      <c r="BK144" s="23">
        <f>AVERAGEIFS( E4:E451, A4:A451,"2016", D4:D451,"Cultura de paz")</f>
        <v>3</v>
      </c>
      <c r="BL144" s="23">
        <f>AVERAGEIFS( E4:E451, A4:A451,"2017", D4:D451,"Cultura de paz")</f>
        <v>1</v>
      </c>
      <c r="BM144" s="23">
        <v>2</v>
      </c>
      <c r="BN144" s="23">
        <v>0</v>
      </c>
      <c r="BO144" s="23">
        <v>0</v>
      </c>
      <c r="BP144" s="23">
        <v>0</v>
      </c>
      <c r="BQ144" s="23">
        <v>3</v>
      </c>
      <c r="BR144" s="23">
        <v>1</v>
      </c>
    </row>
    <row r="145" spans="1:70" ht="15" customHeight="1" x14ac:dyDescent="0.25">
      <c r="A145">
        <v>2017</v>
      </c>
      <c r="B145" t="s">
        <v>4</v>
      </c>
      <c r="C145" t="s">
        <v>207</v>
      </c>
      <c r="D145" t="s">
        <v>42</v>
      </c>
      <c r="E145">
        <v>2</v>
      </c>
      <c r="F145" s="16" t="s">
        <v>215</v>
      </c>
      <c r="G145" t="s">
        <v>233</v>
      </c>
      <c r="H145" s="16" t="s">
        <v>234</v>
      </c>
      <c r="I145" t="s">
        <v>234</v>
      </c>
      <c r="J145" t="s">
        <v>233</v>
      </c>
      <c r="K145" t="s">
        <v>234</v>
      </c>
      <c r="L145" t="s">
        <v>234</v>
      </c>
      <c r="M145" s="14">
        <v>43081</v>
      </c>
      <c r="N145" s="14" t="str">
        <f t="shared" si="2"/>
        <v>2017</v>
      </c>
      <c r="O145" s="55" t="s">
        <v>164</v>
      </c>
      <c r="P145" s="56"/>
      <c r="Q145" s="56"/>
      <c r="R145" s="56"/>
      <c r="S145" s="56"/>
      <c r="T145" s="57"/>
      <c r="U145" s="5">
        <f>COUNTIFS(   D4:D451,"Dinámicas y cambios en el espacio y en la sociedad de la Globalización")</f>
        <v>1</v>
      </c>
      <c r="V145" s="5">
        <f>COUNTIFS(   D4:D451,"Dinámicas y cambios en el espacio y en la sociedad de la Globalización",F4:F451,"Hombre")</f>
        <v>0</v>
      </c>
      <c r="W145" s="5">
        <f>COUNTIFS(   D4:D451,"Dinámicas y cambios en el espacio y en la sociedad de la Globalización",F4:F451,"Mujer")</f>
        <v>1</v>
      </c>
      <c r="X145" s="29">
        <f>COUNTIFS(   A4:A451,"2013", D4:D451,"Dinámicas y cambios en el espacio y en la sociedad de la Globalización")</f>
        <v>0</v>
      </c>
      <c r="Y145" s="5">
        <f>COUNTIFS(   A4:A451,"2014", D4:D451,"Dinámicas y cambios en el espacio y en la sociedad de la Globalización")</f>
        <v>0</v>
      </c>
      <c r="Z145" s="5">
        <f>COUNTIFS(   A4:A451,"2015", D4:D451,"Dinámicas y cambios en el espacio y en la sociedad de la Globalización")</f>
        <v>0</v>
      </c>
      <c r="AA145" s="5">
        <f>COUNTIFS(   A4:A451,"2016", D4:D451,"Dinámicas y cambios en el espacio y en la sociedad de la Globalización")</f>
        <v>0</v>
      </c>
      <c r="AB145" s="5">
        <f>COUNTIFS(   A4:A451,"2017", D4:D451,"Dinámicas y cambios en el espacio y en la sociedad de la Globalización")</f>
        <v>1</v>
      </c>
      <c r="AC145" s="29">
        <f>COUNTIFS(   N4:N451,"2014", D4:D451,"Dinámicas y cambios en el espacio y en la sociedad de la Globalización")</f>
        <v>0</v>
      </c>
      <c r="AD145" s="5">
        <f>COUNTIFS(   N4:N451,"2015", D4:D451,"Dinámicas y cambios en el espacio y en la sociedad de la Globalización")</f>
        <v>0</v>
      </c>
      <c r="AE145" s="5">
        <f>COUNTIFS(   N4:N451,"2016", D4:D451,"Dinámicas y cambios en el espacio y en la sociedad de la Globalización")</f>
        <v>0</v>
      </c>
      <c r="AF145" s="5">
        <f>COUNTIFS(   N4:N451,"2017", D4:D451,"Dinámicas y cambios en el espacio y en la sociedad de la Globalización")</f>
        <v>0</v>
      </c>
      <c r="AG145" s="5">
        <f>COUNTIFS(   N4:N451,"2018", D4:D451,"Dinámicas y cambios en el espacio y en la sociedad de la Globalización")</f>
        <v>1</v>
      </c>
      <c r="AH145" s="5">
        <f>COUNTIFS(   D4:D451,"Dinámicas y cambios en el espacio y en la sociedad de la Globalización",G4:G451,"Sí")</f>
        <v>0</v>
      </c>
      <c r="AI145" s="5">
        <f>COUNTIFS(   D4:D451,"Dinámicas y cambios en el espacio y en la sociedad de la Globalización",G4:G451,"No")</f>
        <v>1</v>
      </c>
      <c r="AJ145" s="5">
        <f>SUMIFS( E4:E451, D4:D451,"Dinámicas y cambios en el espacio y en la sociedad de la Globalización",G4:G451,"Sí")</f>
        <v>0</v>
      </c>
      <c r="AK145" s="5">
        <f>SUMIFS( E4:E451, D4:D451,"Dinámicas y cambios en el espacio y en la sociedad de la Globalización",G4:G451,"No")</f>
        <v>3</v>
      </c>
      <c r="AL145" s="5">
        <f>COUNTIFS(   D4:D451,"Dinámicas y cambios en el espacio y en la sociedad de la Globalización",H4:H451,"Sí")</f>
        <v>0</v>
      </c>
      <c r="AM145" s="5">
        <f>COUNTIFS(   D4:D451,"Dinámicas y cambios en el espacio y en la sociedad de la Globalización",I4:I451,"Sí")</f>
        <v>0</v>
      </c>
      <c r="AN145" s="5">
        <f>COUNTIFS(   D4:D451,"Dinámicas y cambios en el espacio y en la sociedad de la Globalización",I4:I451,"No")</f>
        <v>1</v>
      </c>
      <c r="AO145" s="5">
        <f>SUMIFS( E4:E451, D4:D451,"Dinámicas y cambios en el espacio y en la sociedad de la Globalización",I4:I451,"Sí")</f>
        <v>0</v>
      </c>
      <c r="AP145" s="5">
        <f>SUMIFS( E4:E451, D4:D451,"Dinámicas y cambios en el espacio y en la sociedad de la Globalización",I4:I451,"No")</f>
        <v>3</v>
      </c>
      <c r="AQ145" s="5">
        <f>COUNTIFS(   D4:D451,"Dinámicas y cambios en el espacio y en la sociedad de la Globalización",J4:J451,"Sí")</f>
        <v>1</v>
      </c>
      <c r="AR145" s="5">
        <f>COUNTIFS(   D4:D451,"Dinámicas y cambios en el espacio y en la sociedad de la Globalización",K4:K451,"Sí")</f>
        <v>1</v>
      </c>
      <c r="AS145" s="5">
        <f>COUNTIFS(   D4:D451,"Dinámicas y cambios en el espacio y en la sociedad de la Globalización",L4:L451,"Sí")</f>
        <v>1</v>
      </c>
      <c r="AT145" s="5">
        <f>SUMIFS( E4:E451, D4:D451,"Dinámicas y cambios en el espacio y en la sociedad de la Globalización")</f>
        <v>3</v>
      </c>
      <c r="AU145" s="5">
        <f>SUMIFS( E4:E451, F4:F451,"Hombre", D4:D451,"Dinámicas y cambios en el espacio y en la sociedad de la Globalización")</f>
        <v>0</v>
      </c>
      <c r="AV145" s="5">
        <f>SUMIFS( E4:E451, F4:F451,"Mujer", D4:D451,"Dinámicas y cambios en el espacio y en la sociedad de la Globalización")</f>
        <v>3</v>
      </c>
      <c r="AW145" s="29">
        <f>SUMIFS( E4:E451, A4:A451,"2013", D4:D451,"Dinámicas y cambios en el espacio y en la sociedad de la Globalización")</f>
        <v>0</v>
      </c>
      <c r="AX145" s="5">
        <f>SUMIFS( E4:E451, A4:A451,"2014", D4:D451,"Dinámicas y cambios en el espacio y en la sociedad de la Globalización")</f>
        <v>0</v>
      </c>
      <c r="AY145" s="5">
        <f>SUMIFS( E4:E451, A4:A451,"2015", D4:D451,"Dinámicas y cambios en el espacio y en la sociedad de la Globalización")</f>
        <v>0</v>
      </c>
      <c r="AZ145" s="5">
        <f>SUMIFS( E4:E451, A4:A451,"2016", D4:D451,"Dinámicas y cambios en el espacio y en la sociedad de la Globalización")</f>
        <v>0</v>
      </c>
      <c r="BA145" s="5">
        <f>SUMIFS( E4:E451, A4:A451,"2017", D4:D451,"Dinámicas y cambios en el espacio y en la sociedad de la Globalización")</f>
        <v>3</v>
      </c>
      <c r="BB145" s="29">
        <f>SUMIFS( E4:E451, N4:N451,"2014", D4:D451,"Dinámicas y cambios en el espacio y en la sociedad de la Globalización")</f>
        <v>0</v>
      </c>
      <c r="BC145" s="5">
        <f>SUMIFS( E4:E451, N4:N451,"2015", D4:D451,"Dinámicas y cambios en el espacio y en la sociedad de la Globalización")</f>
        <v>0</v>
      </c>
      <c r="BD145" s="5">
        <f>SUMIFS( E4:E451, N4:N451,"2016", D4:D451,"Dinámicas y cambios en el espacio y en la sociedad de la Globalización")</f>
        <v>0</v>
      </c>
      <c r="BE145" s="5">
        <f>SUMIFS( E4:E451, N4:N451,"2017", D4:D451,"Dinámicas y cambios en el espacio y en la sociedad de la Globalización")</f>
        <v>0</v>
      </c>
      <c r="BF145" s="5">
        <f>SUMIFS( E4:E451, N4:N451,"2018", D4:D451,"Dinámicas y cambios en el espacio y en la sociedad de la Globalización")</f>
        <v>3</v>
      </c>
      <c r="BG145" s="23">
        <f>AVERAGEIFS( E4:E451, D4:D451,"Dinámicas y cambios en el espacio y en la sociedad de la Globalización")</f>
        <v>3</v>
      </c>
      <c r="BH145" s="23">
        <v>0</v>
      </c>
      <c r="BI145" s="23">
        <v>0</v>
      </c>
      <c r="BJ145" s="23">
        <v>0</v>
      </c>
      <c r="BK145" s="23">
        <v>0</v>
      </c>
      <c r="BL145" s="23">
        <f>AVERAGEIFS( E4:E451, A4:A451,"2017", D4:D451,"Dinámicas y cambios en el espacio y en la sociedad de la Globalización")</f>
        <v>3</v>
      </c>
      <c r="BM145" s="23">
        <v>3</v>
      </c>
      <c r="BN145" s="23">
        <v>0</v>
      </c>
      <c r="BO145" s="23">
        <v>0</v>
      </c>
      <c r="BP145" s="23">
        <v>0</v>
      </c>
      <c r="BQ145" s="23">
        <v>0</v>
      </c>
      <c r="BR145" s="23">
        <v>3</v>
      </c>
    </row>
    <row r="146" spans="1:70" ht="15" customHeight="1" x14ac:dyDescent="0.25">
      <c r="A146">
        <v>2017</v>
      </c>
      <c r="B146" t="s">
        <v>4</v>
      </c>
      <c r="C146" t="s">
        <v>207</v>
      </c>
      <c r="D146" t="s">
        <v>39</v>
      </c>
      <c r="E146" s="17">
        <v>2</v>
      </c>
      <c r="F146" s="16" t="s">
        <v>211</v>
      </c>
      <c r="G146" t="s">
        <v>233</v>
      </c>
      <c r="H146" s="16" t="s">
        <v>233</v>
      </c>
      <c r="I146" t="s">
        <v>233</v>
      </c>
      <c r="J146" t="s">
        <v>234</v>
      </c>
      <c r="K146" t="s">
        <v>234</v>
      </c>
      <c r="L146" t="s">
        <v>234</v>
      </c>
      <c r="M146" s="14">
        <v>43007</v>
      </c>
      <c r="N146" s="14" t="str">
        <f t="shared" si="2"/>
        <v>2017</v>
      </c>
      <c r="O146" s="55" t="s">
        <v>168</v>
      </c>
      <c r="P146" s="56"/>
      <c r="Q146" s="56"/>
      <c r="R146" s="56"/>
      <c r="S146" s="56"/>
      <c r="T146" s="57"/>
      <c r="U146" s="5">
        <f>COUNTIFS(   D4:D451,"Información y comunicación científica")</f>
        <v>4</v>
      </c>
      <c r="V146" s="5">
        <f>COUNTIFS(   D4:D451,"Información y comunicación científica",F4:F451,"Hombre")</f>
        <v>1</v>
      </c>
      <c r="W146" s="5">
        <f>COUNTIFS(   D4:D451,"Información y comunicación científica",F4:F451,"Mujer")</f>
        <v>3</v>
      </c>
      <c r="X146" s="29">
        <f>COUNTIFS(   A4:A451,"2013", D4:D451,"Información y comunicación científica")</f>
        <v>0</v>
      </c>
      <c r="Y146" s="5">
        <f>COUNTIFS(   A4:A451,"2014", D4:D451,"Información y comunicación científica")</f>
        <v>0</v>
      </c>
      <c r="Z146" s="5">
        <f>COUNTIFS(   A4:A451,"2015", D4:D451,"Información y comunicación científica")</f>
        <v>4</v>
      </c>
      <c r="AA146" s="5">
        <f>COUNTIFS(   A4:A451,"2016", D4:D451,"Información y comunicación científica")</f>
        <v>0</v>
      </c>
      <c r="AB146" s="5">
        <f>COUNTIFS(   A4:A451,"2017", D4:D451,"Información y comunicación científica")</f>
        <v>0</v>
      </c>
      <c r="AC146" s="29">
        <f>COUNTIFS(   N4:N451,"2014", D4:D451,"Información y comunicación científica")</f>
        <v>0</v>
      </c>
      <c r="AD146" s="5">
        <f>COUNTIFS(   N4:N451,"2015", D4:D451,"Información y comunicación científica")</f>
        <v>0</v>
      </c>
      <c r="AE146" s="5">
        <f>COUNTIFS(   N4:N451,"2016", D4:D451,"Información y comunicación científica")</f>
        <v>4</v>
      </c>
      <c r="AF146" s="5">
        <f>COUNTIFS(   N4:N451,"2017", D4:D451,"Información y comunicación científica")</f>
        <v>0</v>
      </c>
      <c r="AG146" s="5">
        <f>COUNTIFS(   N4:N451,"2018", D4:D451,"Información y comunicación científica")</f>
        <v>0</v>
      </c>
      <c r="AH146" s="5">
        <f>COUNTIFS(   D4:D451,"Información y comunicación científica",G4:G451,"Sí")</f>
        <v>1</v>
      </c>
      <c r="AI146" s="5">
        <f>COUNTIFS(   D4:D451,"Información y comunicación científica",G4:G451,"No")</f>
        <v>3</v>
      </c>
      <c r="AJ146" s="5">
        <f>SUMIFS( E4:E451, D4:D451,"Información y comunicación científica",G4:G451,"Sí")</f>
        <v>1</v>
      </c>
      <c r="AK146" s="5">
        <f>SUMIFS( E4:E451, D4:D451,"Información y comunicación científica",G4:G451,"No")</f>
        <v>15</v>
      </c>
      <c r="AL146" s="5">
        <f>COUNTIFS(   D4:D451,"Información y comunicación científica",H4:H451,"Sí")</f>
        <v>1</v>
      </c>
      <c r="AM146" s="5">
        <f>COUNTIFS(   D4:D451,"Información y comunicación científica",I4:I451,"Sí")</f>
        <v>0</v>
      </c>
      <c r="AN146" s="5">
        <f>COUNTIFS(   D4:D451,"Información y comunicación científica",I4:I451,"No")</f>
        <v>4</v>
      </c>
      <c r="AO146" s="5">
        <f>SUMIFS( E4:E451, D4:D451,"Información y comunicación científica",I4:I451,"Sí")</f>
        <v>0</v>
      </c>
      <c r="AP146" s="5">
        <f>SUMIFS( E4:E451, D4:D451,"Información y comunicación científica",I4:I451,"No")</f>
        <v>16</v>
      </c>
      <c r="AQ146" s="5">
        <f>COUNTIFS(   D4:D451,"Información y comunicación científica",J4:J451,"Sí")</f>
        <v>4</v>
      </c>
      <c r="AR146" s="5">
        <f>COUNTIFS(   D4:D451,"Información y comunicación científica",K4:K451,"Sí")</f>
        <v>1</v>
      </c>
      <c r="AS146" s="5">
        <f>COUNTIFS(   D4:D451,"Información y comunicación científica",L4:L451,"Sí")</f>
        <v>4</v>
      </c>
      <c r="AT146" s="5">
        <f>SUMIFS( E4:E451, D4:D451,"Información y comunicación científica")</f>
        <v>16</v>
      </c>
      <c r="AU146" s="5">
        <f>SUMIFS( E4:E451, F4:F451,"Hombre", D4:D451,"Información y comunicación científica")</f>
        <v>1</v>
      </c>
      <c r="AV146" s="5">
        <f>SUMIFS( E4:E451, F4:F451,"Mujer", D4:D451,"Información y comunicación científica")</f>
        <v>15</v>
      </c>
      <c r="AW146" s="29">
        <f>SUMIFS( E4:E451, A4:A451,"2013", D4:D451,"Información y comunicación científica")</f>
        <v>0</v>
      </c>
      <c r="AX146" s="5">
        <f>SUMIFS( E4:E451, A4:A451,"2014", D4:D451,"Información y comunicación científica")</f>
        <v>0</v>
      </c>
      <c r="AY146" s="5">
        <f>SUMIFS( E4:E451, A4:A451,"2015", D4:D451,"Información y comunicación científica")</f>
        <v>16</v>
      </c>
      <c r="AZ146" s="5">
        <f>SUMIFS( E4:E451, A4:A451,"2016", D4:D451,"Información y comunicación científica")</f>
        <v>0</v>
      </c>
      <c r="BA146" s="5">
        <f>SUMIFS( E4:E451, A4:A451,"2017", D4:D451,"Información y comunicación científica")</f>
        <v>0</v>
      </c>
      <c r="BB146" s="29">
        <f>SUMIFS( E4:E451, N4:N451,"2014", D4:D451,"Información y comunicación científica")</f>
        <v>0</v>
      </c>
      <c r="BC146" s="5">
        <f>SUMIFS( E4:E451, N4:N451,"2015", D4:D451,"Información y comunicación científica")</f>
        <v>0</v>
      </c>
      <c r="BD146" s="5">
        <f>SUMIFS( E4:E451, N4:N451,"2016", D4:D451,"Información y comunicación científica")</f>
        <v>16</v>
      </c>
      <c r="BE146" s="5">
        <f>SUMIFS( E4:E451, N4:N451,"2017", D4:D451,"Información y comunicación científica")</f>
        <v>0</v>
      </c>
      <c r="BF146" s="5">
        <f>SUMIFS( E4:E451, N4:N451,"2018", D4:D451,"Información y comunicación científica")</f>
        <v>0</v>
      </c>
      <c r="BG146" s="23">
        <f>AVERAGEIFS( E4:E451, D4:D451,"Información y comunicación científica")</f>
        <v>4</v>
      </c>
      <c r="BH146" s="23">
        <v>0</v>
      </c>
      <c r="BI146" s="23">
        <v>0</v>
      </c>
      <c r="BJ146" s="23">
        <f>AVERAGEIFS( E4:E451, A4:A451,"2015", D4:D451,"Información y comunicación científica")</f>
        <v>4</v>
      </c>
      <c r="BK146" s="23">
        <v>0</v>
      </c>
      <c r="BL146" s="23">
        <v>0</v>
      </c>
      <c r="BM146" s="23">
        <v>4</v>
      </c>
      <c r="BN146" s="23">
        <v>0</v>
      </c>
      <c r="BO146" s="23">
        <v>0</v>
      </c>
      <c r="BP146" s="23">
        <v>4</v>
      </c>
      <c r="BQ146" s="23">
        <v>0</v>
      </c>
      <c r="BR146" s="23">
        <v>0</v>
      </c>
    </row>
    <row r="147" spans="1:70" ht="15" customHeight="1" x14ac:dyDescent="0.25">
      <c r="A147">
        <v>2017</v>
      </c>
      <c r="B147" t="s">
        <v>4</v>
      </c>
      <c r="C147" t="s">
        <v>207</v>
      </c>
      <c r="D147" t="s">
        <v>42</v>
      </c>
      <c r="E147">
        <v>2</v>
      </c>
      <c r="F147" s="16" t="s">
        <v>215</v>
      </c>
      <c r="G147" t="s">
        <v>233</v>
      </c>
      <c r="H147" s="16" t="s">
        <v>233</v>
      </c>
      <c r="I147" t="s">
        <v>233</v>
      </c>
      <c r="J147" t="s">
        <v>234</v>
      </c>
      <c r="K147" t="s">
        <v>234</v>
      </c>
      <c r="L147" t="s">
        <v>234</v>
      </c>
      <c r="M147" s="14">
        <v>43000</v>
      </c>
      <c r="N147" s="14" t="str">
        <f t="shared" si="2"/>
        <v>2017</v>
      </c>
      <c r="O147" s="64" t="s">
        <v>210</v>
      </c>
      <c r="P147" s="65"/>
      <c r="Q147" s="65"/>
      <c r="R147" s="65"/>
      <c r="S147" s="65"/>
      <c r="T147" s="66"/>
      <c r="U147" s="5">
        <f>COUNTIFS(   D4:D451,"Problemas sociales y cursos vitales en la sociedad global")</f>
        <v>1</v>
      </c>
      <c r="V147" s="5">
        <f>COUNTIFS(   D4:D451,"Problemas sociales y cursos vitales en la sociedad global",F4:F451,"Hombre")</f>
        <v>1</v>
      </c>
      <c r="W147" s="5">
        <f>COUNTIFS(   D4:D451,"Problemas sociales y cursos vitales en la sociedad global",F4:F451,"Mujer")</f>
        <v>0</v>
      </c>
      <c r="X147" s="29">
        <f>COUNTIFS(   A4:A451,"2013", D4:D451,"Problemas sociales y cursos vitales en la sociedad global")</f>
        <v>0</v>
      </c>
      <c r="Y147" s="5">
        <f>COUNTIFS(   A4:A451,"2014", D4:D451,"Problemas sociales y cursos vitales en la sociedad global")</f>
        <v>0</v>
      </c>
      <c r="Z147" s="5">
        <f>COUNTIFS(   A4:A451,"2015", D4:D451,"Problemas sociales y cursos vitales en la sociedad global")</f>
        <v>0</v>
      </c>
      <c r="AA147" s="5">
        <f>COUNTIFS(   A4:A451,"2016", D4:D451,"Problemas sociales y cursos vitales en la sociedad global")</f>
        <v>0</v>
      </c>
      <c r="AB147" s="5">
        <f>COUNTIFS(   A4:A451,"2017", D4:D451,"Problemas sociales y cursos vitales en la sociedad global")</f>
        <v>1</v>
      </c>
      <c r="AC147" s="29">
        <f>COUNTIFS(   N4:N451,"2014", D4:D451,"Problemas sociales y cursos vitales en la sociedad global")</f>
        <v>0</v>
      </c>
      <c r="AD147" s="5">
        <f>COUNTIFS(   N4:N451,"2015", D4:D451,"Problemas sociales y cursos vitales en la sociedad global")</f>
        <v>0</v>
      </c>
      <c r="AE147" s="5">
        <f>COUNTIFS(   N4:N451,"2016", D4:D451,"Problemas sociales y cursos vitales en la sociedad global")</f>
        <v>0</v>
      </c>
      <c r="AF147" s="5">
        <f>COUNTIFS(   N4:N451,"2017", D4:D451,"Problemas sociales y cursos vitales en la sociedad global")</f>
        <v>1</v>
      </c>
      <c r="AG147" s="5">
        <f>COUNTIFS(   N4:N451,"2018", D4:D451,"Problemas sociales y cursos vitales en la sociedad global")</f>
        <v>0</v>
      </c>
      <c r="AH147" s="5">
        <f>COUNTIFS(   D4:D451,"Problemas sociales y cursos vitales en la sociedad global",G4:G451,"Sí")</f>
        <v>0</v>
      </c>
      <c r="AI147" s="5">
        <f>COUNTIFS(   D4:D451,"Problemas sociales y cursos vitales en la sociedad global",G4:G451,"No")</f>
        <v>1</v>
      </c>
      <c r="AJ147" s="5">
        <f>SUMIFS( E4:E451, D4:D451,"Problemas sociales y cursos vitales en la sociedad global",G4:G451,"Sí")</f>
        <v>0</v>
      </c>
      <c r="AK147" s="5">
        <f>SUMIFS( E4:E451, D4:D451,"Problemas sociales y cursos vitales en la sociedad global",G4:G451,"No")</f>
        <v>1</v>
      </c>
      <c r="AL147" s="5">
        <f>COUNTIFS(   D4:D451,"Problemas sociales y cursos vitales en la sociedad global",H4:H451,"Sí")</f>
        <v>0</v>
      </c>
      <c r="AM147" s="5">
        <f>COUNTIFS(   D4:D451,"Problemas sociales y cursos vitales en la sociedad global",I4:I451,"Sí")</f>
        <v>0</v>
      </c>
      <c r="AN147" s="5">
        <f>COUNTIFS(   D4:D451,"Problemas sociales y cursos vitales en la sociedad global",I4:I451,"No")</f>
        <v>1</v>
      </c>
      <c r="AO147" s="5">
        <f>SUMIFS( E4:E451, D4:D451,"Problemas sociales y cursos vitales en la sociedad global",I4:I451,"Sí")</f>
        <v>0</v>
      </c>
      <c r="AP147" s="5">
        <f>SUMIFS( E4:E451, D4:D451,"Problemas sociales y cursos vitales en la sociedad global",I4:I451,"No")</f>
        <v>1</v>
      </c>
      <c r="AQ147" s="5">
        <f>COUNTIFS(   D4:D451,"Problemas sociales y cursos vitales en la sociedad global",J4:J451,"Sí")</f>
        <v>1</v>
      </c>
      <c r="AR147" s="5">
        <f>COUNTIFS(   D4:D451,"Problemas sociales y cursos vitales en la sociedad global",K4:K451,"Sí")</f>
        <v>1</v>
      </c>
      <c r="AS147" s="5">
        <f>COUNTIFS(   D4:D451,"Problemas sociales y cursos vitales en la sociedad global",L4:L451,"Sí")</f>
        <v>1</v>
      </c>
      <c r="AT147" s="5">
        <f>SUMIFS( E4:E451, D4:D451,"Problemas sociales y cursos vitales en la sociedad global")</f>
        <v>1</v>
      </c>
      <c r="AU147" s="5">
        <f>SUMIFS( E4:E451, F4:F451,"Hombre", D4:D451,"Problemas sociales y cursos vitales en la sociedad global")</f>
        <v>1</v>
      </c>
      <c r="AV147" s="5">
        <f>SUMIFS( E4:E451, F4:F451,"Mujer", D4:D451,"Problemas sociales y cursos vitales en la sociedad global")</f>
        <v>0</v>
      </c>
      <c r="AW147" s="29">
        <f>SUMIFS( E4:E451, A4:A451,"2013", D4:D451,"Problemas sociales y cursos vitales en la sociedad global")</f>
        <v>0</v>
      </c>
      <c r="AX147" s="5">
        <f>SUMIFS( E4:E451, A4:A451,"2014", D4:D451,"Problemas sociales y cursos vitales en la sociedad global")</f>
        <v>0</v>
      </c>
      <c r="AY147" s="5">
        <f>SUMIFS( E4:E451, A4:A451,"2015", D4:D451,"Problemas sociales y cursos vitales en la sociedad global")</f>
        <v>0</v>
      </c>
      <c r="AZ147" s="5">
        <f>SUMIFS( E4:E451, A4:A451,"2016", D4:D451,"Problemas sociales y cursos vitales en la sociedad global")</f>
        <v>0</v>
      </c>
      <c r="BA147" s="5">
        <f>SUMIFS( E4:E451, A4:A451,"2017", D4:D451,"Problemas sociales y cursos vitales en la sociedad global")</f>
        <v>1</v>
      </c>
      <c r="BB147" s="29">
        <f>SUMIFS( E4:E451, N4:N451,"2014", D4:D451,"Problemas sociales y cursos vitales en la sociedad global")</f>
        <v>0</v>
      </c>
      <c r="BC147" s="5">
        <f>SUMIFS( E4:E451, N4:N451,"2015", D4:D451,"Problemas sociales y cursos vitales en la sociedad global")</f>
        <v>0</v>
      </c>
      <c r="BD147" s="5">
        <f>SUMIFS( E4:E451, N4:N451,"2016", D4:D451,"Problemas sociales y cursos vitales en la sociedad global")</f>
        <v>0</v>
      </c>
      <c r="BE147" s="5">
        <f>SUMIFS( E4:E451, N4:N451,"2017", D4:D451,"Problemas sociales y cursos vitales en la sociedad global")</f>
        <v>1</v>
      </c>
      <c r="BF147" s="5">
        <f>SUMIFS( E4:E451, N4:N451,"2018", D4:D451,"Problemas sociales y cursos vitales en la sociedad global")</f>
        <v>0</v>
      </c>
      <c r="BG147" s="23">
        <f>AVERAGEIFS( E4:E451, D4:D451,"Problemas sociales y cursos vitales en la sociedad global")</f>
        <v>1</v>
      </c>
      <c r="BH147" s="23">
        <v>0</v>
      </c>
      <c r="BI147" s="23">
        <v>0</v>
      </c>
      <c r="BJ147" s="23">
        <v>0</v>
      </c>
      <c r="BK147" s="23">
        <v>0</v>
      </c>
      <c r="BL147" s="23">
        <f>AVERAGEIFS( E4:E451, A4:A451,"2017", D4:D451,"Problemas sociales y cursos vitales en la sociedad global")</f>
        <v>1</v>
      </c>
      <c r="BM147" s="23">
        <v>1</v>
      </c>
      <c r="BN147" s="23">
        <v>0</v>
      </c>
      <c r="BO147" s="23">
        <v>0</v>
      </c>
      <c r="BP147" s="23">
        <v>0</v>
      </c>
      <c r="BQ147" s="23">
        <v>0</v>
      </c>
      <c r="BR147" s="23">
        <v>1</v>
      </c>
    </row>
    <row r="148" spans="1:70" ht="15" customHeight="1" x14ac:dyDescent="0.25">
      <c r="A148">
        <v>2016</v>
      </c>
      <c r="B148" t="s">
        <v>4</v>
      </c>
      <c r="C148" t="s">
        <v>207</v>
      </c>
      <c r="D148" t="s">
        <v>39</v>
      </c>
      <c r="E148">
        <v>2</v>
      </c>
      <c r="F148" s="16" t="s">
        <v>215</v>
      </c>
      <c r="G148" t="s">
        <v>233</v>
      </c>
      <c r="H148" s="16" t="s">
        <v>234</v>
      </c>
      <c r="I148" t="s">
        <v>234</v>
      </c>
      <c r="J148" t="s">
        <v>234</v>
      </c>
      <c r="K148" t="s">
        <v>233</v>
      </c>
      <c r="L148" t="s">
        <v>234</v>
      </c>
      <c r="M148" s="14">
        <v>42926</v>
      </c>
      <c r="N148" s="14" t="str">
        <f t="shared" si="2"/>
        <v>2017</v>
      </c>
      <c r="O148" s="6" t="s">
        <v>73</v>
      </c>
      <c r="P148" s="12"/>
      <c r="Q148" s="12"/>
      <c r="R148" s="12"/>
      <c r="S148" s="12"/>
      <c r="T148" s="13"/>
      <c r="U148" s="4">
        <f>COUNTIFS(   C4:C451,"Estudios de las Mujeres, Discursos y Prácticas de Género ")</f>
        <v>3</v>
      </c>
      <c r="V148" s="4">
        <f>COUNTIFS(   C4:C451,"Estudios de las Mujeres, Discursos y Prácticas de Género ",F4:F451,"Hombre")</f>
        <v>0</v>
      </c>
      <c r="W148" s="4">
        <f>COUNTIFS(   C4:C451,"Estudios de las Mujeres, Discursos y Prácticas de Género ",F4:F451,"Mujer")</f>
        <v>3</v>
      </c>
      <c r="X148" s="28">
        <f>COUNTIFS(   A4:A451,"2013", C4:C451,"Estudios de las Mujeres, Discursos y Prácticas de Género ")</f>
        <v>0</v>
      </c>
      <c r="Y148" s="4">
        <f>COUNTIFS(   A4:A451,"2014", C4:C451,"Estudios de las Mujeres, Discursos y Prácticas de Género ")</f>
        <v>0</v>
      </c>
      <c r="Z148" s="4">
        <f>COUNTIFS(   A4:A451,"2015", C4:C451,"Estudios de las Mujeres, Discursos y Prácticas de Género ")</f>
        <v>0</v>
      </c>
      <c r="AA148" s="4">
        <f>COUNTIFS(   A4:A451,"2016", C4:C451,"Estudios de las Mujeres, Discursos y Prácticas de Género ")</f>
        <v>2</v>
      </c>
      <c r="AB148" s="4">
        <f>COUNTIFS(   A4:A451,"2017", C4:C451,"Estudios de las Mujeres, Discursos y Prácticas de Género ")</f>
        <v>1</v>
      </c>
      <c r="AC148" s="28">
        <f>COUNTIFS(   N4:N451,"2014", C4:C451,"Estudios de las Mujeres, Discursos y Prácticas de Género ")</f>
        <v>0</v>
      </c>
      <c r="AD148" s="4">
        <f>COUNTIFS(   N4:N451,"2015", C4:C451,"Estudios de las Mujeres, Discursos y Prácticas de Género ")</f>
        <v>0</v>
      </c>
      <c r="AE148" s="4">
        <f>COUNTIFS(   N4:N451,"2016", C4:C451,"Estudios de las Mujeres, Discursos y Prácticas de Género ")</f>
        <v>0</v>
      </c>
      <c r="AF148" s="4">
        <f>COUNTIFS(   N4:N451,"2017", C4:C451,"Estudios de las Mujeres, Discursos y Prácticas de Género ")</f>
        <v>3</v>
      </c>
      <c r="AG148" s="4">
        <f>COUNTIFS(   N4:N451,"2018", C4:C451,"Estudios de las Mujeres, Discursos y Prácticas de Género ")</f>
        <v>0</v>
      </c>
      <c r="AH148" s="4">
        <f>COUNTIFS(   C4:C451,"Estudios de las Mujeres, Discursos y Prácticas de Género ",G4:G451,"Sí")</f>
        <v>0</v>
      </c>
      <c r="AI148" s="4">
        <f>COUNTIFS(   C4:C451,"Estudios de las Mujeres, Discursos y Prácticas de Género ",G4:G451,"No")</f>
        <v>3</v>
      </c>
      <c r="AJ148" s="4">
        <f>SUMIFS( E4:E451, C4:C451,"Estudios de las Mujeres, Discursos y Prácticas de Género ",G4:G451,"Sí")</f>
        <v>0</v>
      </c>
      <c r="AK148" s="4">
        <f>SUMIFS( E4:E451, C4:C451,"Estudios de las Mujeres, Discursos y Prácticas de Género ",G4:G451,"No")</f>
        <v>3</v>
      </c>
      <c r="AL148" s="4">
        <f>COUNTIFS(   C4:C451,"Estudios de las Mujeres, Discursos y Prácticas de Género ",H4:H451,"Sí")</f>
        <v>0</v>
      </c>
      <c r="AM148" s="4">
        <f>COUNTIFS(   C4:C451,"Estudios de las Mujeres, Discursos y Prácticas de Género ",I4:I451,"Sí")</f>
        <v>0</v>
      </c>
      <c r="AN148" s="4">
        <f>COUNTIFS(   C4:C451,"Estudios de las Mujeres, Discursos y Prácticas de Género ",I4:I451,"No")</f>
        <v>3</v>
      </c>
      <c r="AO148" s="4">
        <f>SUMIFS( E4:E451, C4:C451,"Estudios de las Mujeres, Discursos y Prácticas de Género ",I4:I451,"Sí")</f>
        <v>0</v>
      </c>
      <c r="AP148" s="4">
        <f>SUMIFS( E4:E451, C4:C451,"Estudios de las Mujeres, Discursos y Prácticas de Género ",I4:I451,"No")</f>
        <v>3</v>
      </c>
      <c r="AQ148" s="4">
        <f>COUNTIFS(   C4:C451,"Estudios de las Mujeres, Discursos y Prácticas de Género ",J4:J451,"Sí")</f>
        <v>3</v>
      </c>
      <c r="AR148" s="4">
        <f>COUNTIFS(   C4:C451,"Estudios de las Mujeres, Discursos y Prácticas de Género ",K4:K451,"Sí")</f>
        <v>0</v>
      </c>
      <c r="AS148" s="4">
        <f>COUNTIFS(   C4:C451,"Estudios de las Mujeres, Discursos y Prácticas de Género ",L4:L451,"Sí")</f>
        <v>3</v>
      </c>
      <c r="AT148" s="4">
        <f>SUMIFS( E4:E451, C4:C451,"Estudios de las Mujeres, Discursos y Prácticas de Género ")</f>
        <v>3</v>
      </c>
      <c r="AU148" s="4">
        <f>SUMIFS( E4:E451, F4:F451,"Hombre", C4:C451,"Estudios de las Mujeres, Discursos y Prácticas de Género ")</f>
        <v>0</v>
      </c>
      <c r="AV148" s="4">
        <f>SUMIFS( E4:E451, F4:F451,"Mujer", C4:C451,"Estudios de las Mujeres, Discursos y Prácticas de Género ")</f>
        <v>3</v>
      </c>
      <c r="AW148" s="28">
        <f>SUMIFS( E4:E451, A4:A451,"2013", C4:C451,"Estudios de las Mujeres, Discursos y Prácticas de Género ")</f>
        <v>0</v>
      </c>
      <c r="AX148" s="4">
        <f>SUMIFS( E4:E451, A4:A451,"2014", C4:C451,"Estudios de las Mujeres, Discursos y Prácticas de Género ")</f>
        <v>0</v>
      </c>
      <c r="AY148" s="4">
        <f>SUMIFS( E4:E451, A4:A451,"2015", C4:C451,"Estudios de las Mujeres, Discursos y Prácticas de Género ")</f>
        <v>0</v>
      </c>
      <c r="AZ148" s="4">
        <f>SUMIFS( E4:E451, A4:A451,"2016", C4:C451,"Estudios de las Mujeres, Discursos y Prácticas de Género ")</f>
        <v>3</v>
      </c>
      <c r="BA148" s="4">
        <f>SUMIFS( E4:E451, A4:A451,"2017", C4:C451,"Estudios de las Mujeres, Discursos y Prácticas de Género ")</f>
        <v>0</v>
      </c>
      <c r="BB148" s="28">
        <f>SUMIFS( E4:E451, N4:N451,"2014", C4:C451,"Estudios de las Mujeres, Discursos y Prácticas de Género ")</f>
        <v>0</v>
      </c>
      <c r="BC148" s="4">
        <f>SUMIFS( E4:E451, N4:N451,"2015", C4:C451,"Estudios de las Mujeres, Discursos y Prácticas de Género ")</f>
        <v>0</v>
      </c>
      <c r="BD148" s="4">
        <f>SUMIFS( E4:E451, N4:N451,"2016", C4:C451,"Estudios de las Mujeres, Discursos y Prácticas de Género ")</f>
        <v>0</v>
      </c>
      <c r="BE148" s="4">
        <f>SUMIFS( E4:E451, N4:N451,"2017", C4:C451,"Estudios de las Mujeres, Discursos y Prácticas de Género ")</f>
        <v>3</v>
      </c>
      <c r="BF148" s="4">
        <f>SUMIFS( E4:E451, N4:N451,"2018", C4:C451,"Estudios de las Mujeres, Discursos y Prácticas de Género ")</f>
        <v>0</v>
      </c>
      <c r="BG148" s="22">
        <f>AVERAGEIFS( E4:E451, C4:C451,"Estudios de las Mujeres, Discursos y Prácticas de Género ")</f>
        <v>1</v>
      </c>
      <c r="BH148" s="22">
        <v>0</v>
      </c>
      <c r="BI148" s="22">
        <v>0</v>
      </c>
      <c r="BJ148" s="22">
        <v>0</v>
      </c>
      <c r="BK148" s="22">
        <f>AVERAGEIFS( E4:E451, A4:A451,"2016", C4:C451,"Estudios de las Mujeres, Discursos y Prácticas de Género ")</f>
        <v>1.5</v>
      </c>
      <c r="BL148" s="22">
        <f>AVERAGEIFS( E4:E451, A4:A451,"2017", C4:C451,"Estudios de las Mujeres, Discursos y Prácticas de Género ")</f>
        <v>0</v>
      </c>
      <c r="BM148" s="22">
        <f>AVERAGE(AT149)</f>
        <v>3</v>
      </c>
      <c r="BN148" s="22">
        <v>0</v>
      </c>
      <c r="BO148" s="22">
        <v>0</v>
      </c>
      <c r="BP148" s="22">
        <v>0</v>
      </c>
      <c r="BQ148" s="22">
        <f>AVERAGE(AZ149)</f>
        <v>3</v>
      </c>
      <c r="BR148" s="22">
        <v>0</v>
      </c>
    </row>
    <row r="149" spans="1:70" ht="15" customHeight="1" x14ac:dyDescent="0.25">
      <c r="A149">
        <v>2016</v>
      </c>
      <c r="B149" t="s">
        <v>4</v>
      </c>
      <c r="C149" t="s">
        <v>207</v>
      </c>
      <c r="D149" t="s">
        <v>40</v>
      </c>
      <c r="E149">
        <v>4</v>
      </c>
      <c r="F149" s="16" t="s">
        <v>211</v>
      </c>
      <c r="G149" t="s">
        <v>233</v>
      </c>
      <c r="H149" s="16" t="s">
        <v>233</v>
      </c>
      <c r="I149" t="s">
        <v>234</v>
      </c>
      <c r="J149" t="s">
        <v>234</v>
      </c>
      <c r="K149" t="s">
        <v>233</v>
      </c>
      <c r="L149" t="s">
        <v>234</v>
      </c>
      <c r="M149" s="14">
        <v>42921</v>
      </c>
      <c r="N149" s="14" t="str">
        <f t="shared" si="2"/>
        <v>2017</v>
      </c>
      <c r="O149" s="64" t="s">
        <v>170</v>
      </c>
      <c r="P149" s="65"/>
      <c r="Q149" s="65"/>
      <c r="R149" s="65"/>
      <c r="S149" s="65"/>
      <c r="T149" s="66"/>
      <c r="U149" s="5">
        <f>COUNTIFS(   D4:D451,"Estudios de las Mujeres y de Género: Historia, Discursos, Ciencia y Poder")</f>
        <v>3</v>
      </c>
      <c r="V149" s="5">
        <f>COUNTIFS(   D4:D451,"Estudios de las Mujeres y de Género: Historia, Discursos, Ciencia y Poder",F4:F451,"Hombre")</f>
        <v>0</v>
      </c>
      <c r="W149" s="5">
        <f>COUNTIFS(   D4:D451,"Estudios de las Mujeres y de Género: Historia, Discursos, Ciencia y Poder",F4:F451,"Mujer")</f>
        <v>3</v>
      </c>
      <c r="X149" s="29">
        <f>COUNTIFS(   A4:A451,"2013", D4:D451,"Estudios de las Mujeres y de Género: Historia, Discursos, Ciencia y Poder")</f>
        <v>0</v>
      </c>
      <c r="Y149" s="5">
        <f>COUNTIFS(   A4:A451,"2014", D4:D451,"Estudios de las Mujeres y de Género: Historia, Discursos, Ciencia y Poder")</f>
        <v>0</v>
      </c>
      <c r="Z149" s="5">
        <f>COUNTIFS(   A4:A451,"2015", D4:D451,"Estudios de las Mujeres y de Género: Historia, Discursos, Ciencia y Poder")</f>
        <v>0</v>
      </c>
      <c r="AA149" s="5">
        <f>COUNTIFS(   A4:A451,"2016", D4:D451,"Estudios de las Mujeres y de Género: Historia, Discursos, Ciencia y Poder")</f>
        <v>2</v>
      </c>
      <c r="AB149" s="5">
        <f>COUNTIFS(   A4:A451,"2017", D4:D451,"Estudios de las Mujeres y de Género: Historia, Discursos, Ciencia y Poder")</f>
        <v>1</v>
      </c>
      <c r="AC149" s="29">
        <f>COUNTIFS(   N4:N451,"2014", D4:D451,"Estudios de las Mujeres y de Género: Historia, Discursos, Ciencia y Poder")</f>
        <v>0</v>
      </c>
      <c r="AD149" s="5">
        <f>COUNTIFS(   N4:N451,"2015", D4:D451,"Estudios de las Mujeres y de Género: Historia, Discursos, Ciencia y Poder")</f>
        <v>0</v>
      </c>
      <c r="AE149" s="5">
        <f>COUNTIFS(   N4:N451,"2016", D4:D451,"Estudios de las Mujeres y de Género: Historia, Discursos, Ciencia y Poder")</f>
        <v>0</v>
      </c>
      <c r="AF149" s="5">
        <f>COUNTIFS(   N4:N451,"2017", D4:D451,"Estudios de las Mujeres y de Género: Historia, Discursos, Ciencia y Poder")</f>
        <v>3</v>
      </c>
      <c r="AG149" s="5">
        <f>COUNTIFS(   N4:N451,"2018", D4:D451,"Estudios de las Mujeres y de Género: Historia, Discursos, Ciencia y Poder")</f>
        <v>0</v>
      </c>
      <c r="AH149" s="5">
        <f>COUNTIFS(   D4:D451,"Estudios de las Mujeres y de Género: Historia, Discursos, Ciencia y Poder",G4:G451,"Sí")</f>
        <v>0</v>
      </c>
      <c r="AI149" s="5">
        <f>COUNTIFS(   D4:D451,"Estudios de las Mujeres y de Género: Historia, Discursos, Ciencia y Poder",G4:G451,"No")</f>
        <v>3</v>
      </c>
      <c r="AJ149" s="5">
        <f>SUMIFS( E4:E451, D4:D451,"Estudios de las Mujeres y de Género: Historia, Discursos, Ciencia y Poder",G4:G451,"Sí")</f>
        <v>0</v>
      </c>
      <c r="AK149" s="5">
        <f>SUMIFS( E4:E451, D4:D451,"Estudios de las Mujeres y de Género: Historia, Discursos, Ciencia y Poder",G4:G451,"No")</f>
        <v>3</v>
      </c>
      <c r="AL149" s="5">
        <f>COUNTIFS(   D4:D451,"Estudios de las Mujeres y de Género: Historia, Discursos, Ciencia y Poder",H4:H451,"Sí")</f>
        <v>0</v>
      </c>
      <c r="AM149" s="5">
        <f>COUNTIFS(   D4:D451,"Estudios de las Mujeres y de Género: Historia, Discursos, Ciencia y Poder",I4:I451,"Sí")</f>
        <v>0</v>
      </c>
      <c r="AN149" s="5">
        <f>COUNTIFS(   D4:D451,"Estudios de las Mujeres y de Género: Historia, Discursos, Ciencia y Poder",I4:I451,"No")</f>
        <v>3</v>
      </c>
      <c r="AO149" s="5">
        <f>SUMIFS( E4:E451, D4:D451,"Estudios de las Mujeres y de Género: Historia, Discursos, Ciencia y Poder",I4:I451,"Sí")</f>
        <v>0</v>
      </c>
      <c r="AP149" s="5">
        <f>SUMIFS( E4:E451, D4:D451,"Estudios de las Mujeres y de Género: Historia, Discursos, Ciencia y Poder",I4:I451,"No")</f>
        <v>3</v>
      </c>
      <c r="AQ149" s="5">
        <f>COUNTIFS(   D4:D451,"Estudios de las Mujeres y de Género: Historia, Discursos, Ciencia y Poder",J4:J451,"Sí")</f>
        <v>3</v>
      </c>
      <c r="AR149" s="5">
        <f>COUNTIFS(   D4:D451,"Estudios de las Mujeres y de Género: Historia, Discursos, Ciencia y Poder",K4:K451,"Sí")</f>
        <v>0</v>
      </c>
      <c r="AS149" s="5">
        <f>COUNTIFS(   D4:D451,"Estudios de las Mujeres y de Género: Historia, Discursos, Ciencia y Poder",L4:L451,"Sí")</f>
        <v>3</v>
      </c>
      <c r="AT149" s="5">
        <f>SUMIFS( E4:E451, D4:D451,"Estudios de las Mujeres y de Género: Historia, Discursos, Ciencia y Poder")</f>
        <v>3</v>
      </c>
      <c r="AU149" s="5">
        <f>SUMIFS( E4:E451, F4:F451,"Hombre", D4:D451,"Estudios de las Mujeres y de Género: Historia, Discursos, Ciencia y Poder")</f>
        <v>0</v>
      </c>
      <c r="AV149" s="5">
        <f>SUMIFS( E4:E451, F4:F451,"Mujer", D4:D451,"Estudios de las Mujeres y de Género: Historia, Discursos, Ciencia y Poder")</f>
        <v>3</v>
      </c>
      <c r="AW149" s="29">
        <f>SUMIFS( E4:E451, A4:A451,"2013", D4:D451,"Estudios de las Mujeres y de Género: Historia, Discursos, Ciencia y Poder")</f>
        <v>0</v>
      </c>
      <c r="AX149" s="5">
        <f>SUMIFS( E4:E451, A4:A451,"2014", D4:D451,"Estudios de las Mujeres y de Género: Historia, Discursos, Ciencia y Poder")</f>
        <v>0</v>
      </c>
      <c r="AY149" s="5">
        <f>SUMIFS( E4:E451, A4:A451,"2015", D4:D451,"Estudios de las Mujeres y de Género: Historia, Discursos, Ciencia y Poder")</f>
        <v>0</v>
      </c>
      <c r="AZ149" s="5">
        <f>SUMIFS( E4:E451, A4:A451,"2016", D4:D451,"Estudios de las Mujeres y de Género: Historia, Discursos, Ciencia y Poder")</f>
        <v>3</v>
      </c>
      <c r="BA149" s="5">
        <f>SUMIFS( E4:E451, A4:A451,"2017", D4:D451,"Estudios de las Mujeres y de Género: Historia, Discursos, Ciencia y Poder")</f>
        <v>0</v>
      </c>
      <c r="BB149" s="29">
        <f>SUMIFS( E4:E451, N4:N451,"2014", D4:D451,"Estudios de las Mujeres y de Género: Historia, Discursos, Ciencia y Poder")</f>
        <v>0</v>
      </c>
      <c r="BC149" s="5">
        <f>SUMIFS( E4:E451, N4:N451,"2015", D4:D451,"Estudios de las Mujeres y de Género: Historia, Discursos, Ciencia y Poder")</f>
        <v>0</v>
      </c>
      <c r="BD149" s="5">
        <f>SUMIFS( E4:E451, N4:N451,"2016", D4:D451,"Estudios de las Mujeres y de Género: Historia, Discursos, Ciencia y Poder")</f>
        <v>0</v>
      </c>
      <c r="BE149" s="5">
        <f>SUMIFS( E4:E451, N4:N451,"2017", D4:D451,"Estudios de las Mujeres y de Género: Historia, Discursos, Ciencia y Poder")</f>
        <v>3</v>
      </c>
      <c r="BF149" s="5">
        <f>SUMIFS( E4:E451, N4:N451,"2018", D4:D451,"Estudios de las Mujeres y de Género: Historia, Discursos, Ciencia y Poder")</f>
        <v>0</v>
      </c>
      <c r="BG149" s="23">
        <f>AVERAGEIFS( E4:E451, D4:D451,"Estudios de las Mujeres y de Género: Historia, Discursos, Ciencia y Poder")</f>
        <v>1</v>
      </c>
      <c r="BH149" s="23">
        <v>0</v>
      </c>
      <c r="BI149" s="23">
        <v>0</v>
      </c>
      <c r="BJ149" s="23">
        <v>0</v>
      </c>
      <c r="BK149" s="23">
        <f>AVERAGEIFS( E4:E451, A4:A451,"2016", D4:D451,"Estudios de las Mujeres y de Género: Historia, Discursos, Ciencia y Poder")</f>
        <v>1.5</v>
      </c>
      <c r="BL149" s="23">
        <f>AVERAGEIFS( E4:E451, A4:A451,"2017", D4:D451,"Estudios de las Mujeres y de Género: Historia, Discursos, Ciencia y Poder")</f>
        <v>0</v>
      </c>
      <c r="BM149" s="23">
        <v>1</v>
      </c>
      <c r="BN149" s="23">
        <v>0</v>
      </c>
      <c r="BO149" s="23">
        <v>0</v>
      </c>
      <c r="BP149" s="23">
        <v>0</v>
      </c>
      <c r="BQ149" s="23">
        <v>1.5</v>
      </c>
      <c r="BR149" s="23">
        <v>0</v>
      </c>
    </row>
    <row r="150" spans="1:70" ht="15" customHeight="1" x14ac:dyDescent="0.25">
      <c r="A150">
        <v>2016</v>
      </c>
      <c r="B150" t="s">
        <v>4</v>
      </c>
      <c r="C150" t="s">
        <v>207</v>
      </c>
      <c r="D150" t="s">
        <v>41</v>
      </c>
      <c r="E150">
        <v>2</v>
      </c>
      <c r="F150" s="16" t="s">
        <v>215</v>
      </c>
      <c r="G150" t="s">
        <v>233</v>
      </c>
      <c r="H150" s="16" t="s">
        <v>233</v>
      </c>
      <c r="I150" t="s">
        <v>233</v>
      </c>
      <c r="J150" t="s">
        <v>234</v>
      </c>
      <c r="K150" t="s">
        <v>234</v>
      </c>
      <c r="L150" t="s">
        <v>234</v>
      </c>
      <c r="M150" s="14">
        <v>42906</v>
      </c>
      <c r="N150" s="14" t="str">
        <f t="shared" si="2"/>
        <v>2017</v>
      </c>
      <c r="O150" s="6" t="s">
        <v>74</v>
      </c>
      <c r="P150" s="12"/>
      <c r="Q150" s="12"/>
      <c r="R150" s="12"/>
      <c r="S150" s="12"/>
      <c r="T150" s="13"/>
      <c r="U150" s="4">
        <f>COUNTIFS(   C4:C451,"Estudios Migratorios")</f>
        <v>7</v>
      </c>
      <c r="V150" s="4">
        <f>COUNTIFS(   C4:C451,"Estudios Migratorios",F4:F451,"Hombre")</f>
        <v>5</v>
      </c>
      <c r="W150" s="4">
        <f>COUNTIFS(   C4:C451,"Estudios Migratorios",F4:F451,"Mujer")</f>
        <v>2</v>
      </c>
      <c r="X150" s="28">
        <f>COUNTIFS(   A4:A451,"2013", C4:C451,"Estudios Migratorios")</f>
        <v>0</v>
      </c>
      <c r="Y150" s="4">
        <f>COUNTIFS(   A4:A451,"2014", C4:C451,"Estudios Migratorios")</f>
        <v>0</v>
      </c>
      <c r="Z150" s="4">
        <f>COUNTIFS(   A4:A451,"2015", C4:C451,"Estudios Migratorios")</f>
        <v>1</v>
      </c>
      <c r="AA150" s="4">
        <f>COUNTIFS(   A4:A451,"2016", C4:C451,"Estudios Migratorios")</f>
        <v>2</v>
      </c>
      <c r="AB150" s="4">
        <f>COUNTIFS(   A4:A451,"2017", C4:C451,"Estudios Migratorios")</f>
        <v>4</v>
      </c>
      <c r="AC150" s="28">
        <f>COUNTIFS(   N4:N451,"2014", C4:C451,"Estudios Migratorios")</f>
        <v>0</v>
      </c>
      <c r="AD150" s="4">
        <f>COUNTIFS(   N4:N451,"2015", C4:C451,"Estudios Migratorios")</f>
        <v>0</v>
      </c>
      <c r="AE150" s="4">
        <f>COUNTIFS(   N4:N451,"2016", C4:C451,"Estudios Migratorios")</f>
        <v>1</v>
      </c>
      <c r="AF150" s="4">
        <f>COUNTIFS(   N4:N451,"2017", C4:C451,"Estudios Migratorios")</f>
        <v>5</v>
      </c>
      <c r="AG150" s="4">
        <f>COUNTIFS(   N4:N451,"2018", C4:C451,"Estudios Migratorios")</f>
        <v>1</v>
      </c>
      <c r="AH150" s="4">
        <f>COUNTIFS(   C4:C451,"Estudios Migratorios",G4:G451,"Sí")</f>
        <v>0</v>
      </c>
      <c r="AI150" s="4">
        <f>COUNTIFS(   C4:C451,"Estudios Migratorios",G4:G451,"No")</f>
        <v>7</v>
      </c>
      <c r="AJ150" s="4">
        <f>SUMIFS( E4:E451, C4:C451,"Estudios Migratorios",G4:G451,"Sí")</f>
        <v>0</v>
      </c>
      <c r="AK150" s="4">
        <f>SUMIFS( E4:E451, C4:C451,"Estudios Migratorios",G4:G451,"No")</f>
        <v>22</v>
      </c>
      <c r="AL150" s="4">
        <f>COUNTIFS(   C4:C451,"Estudios Migratorios",H4:H451,"Sí")</f>
        <v>2</v>
      </c>
      <c r="AM150" s="4">
        <f>COUNTIFS(   C4:C451,"Estudios Migratorios",I4:I451,"Sí")</f>
        <v>3</v>
      </c>
      <c r="AN150" s="4">
        <f>COUNTIFS(   C4:C451,"Estudios Migratorios",I4:I451,"No")</f>
        <v>4</v>
      </c>
      <c r="AO150" s="4">
        <f>SUMIFS( E4:E451, C4:C451,"Estudios Migratorios",I4:I451,"Sí")</f>
        <v>12</v>
      </c>
      <c r="AP150" s="4">
        <f>SUMIFS( E4:E451, C4:C451,"Estudios Migratorios",I4:I451,"No")</f>
        <v>10</v>
      </c>
      <c r="AQ150" s="4">
        <f>COUNTIFS(   C4:C451,"Estudios Migratorios",J4:J451,"Sí")</f>
        <v>5</v>
      </c>
      <c r="AR150" s="4">
        <f>COUNTIFS(   C4:C451,"Estudios Migratorios",K4:K451,"Sí")</f>
        <v>4</v>
      </c>
      <c r="AS150" s="4">
        <f>COUNTIFS(   C4:C451,"Estudios Migratorios",L4:L451,"Sí")</f>
        <v>6</v>
      </c>
      <c r="AT150" s="4">
        <f>SUMIFS( E4:E451, C4:C451,"Estudios Migratorios")</f>
        <v>22</v>
      </c>
      <c r="AU150" s="4">
        <f>SUMIFS( E4:E451, F4:F451,"Hombre", C4:C451,"Estudios Migratorios")</f>
        <v>17</v>
      </c>
      <c r="AV150" s="4">
        <f>SUMIFS( E4:E451, F4:F451,"Mujer", C4:C451,"Estudios Migratorios")</f>
        <v>5</v>
      </c>
      <c r="AW150" s="28">
        <f>SUMIFS( E4:E451, A4:A451,"2013", C4:C451,"Estudios Migratorios")</f>
        <v>0</v>
      </c>
      <c r="AX150" s="4">
        <f>SUMIFS( E4:E451, A4:A451,"2014", C4:C451,"Estudios Migratorios")</f>
        <v>0</v>
      </c>
      <c r="AY150" s="4">
        <f>SUMIFS( E4:E451, A4:A451,"2015", C4:C451,"Estudios Migratorios")</f>
        <v>0</v>
      </c>
      <c r="AZ150" s="4">
        <f>SUMIFS( E4:E451, A4:A451,"2016", C4:C451,"Estudios Migratorios")</f>
        <v>6</v>
      </c>
      <c r="BA150" s="4">
        <f>SUMIFS( E4:E451, A4:A451,"2017", C4:C451,"Estudios Migratorios")</f>
        <v>16</v>
      </c>
      <c r="BB150" s="28">
        <f>SUMIFS( E4:E451, N4:N451,"2014", C4:C451,"Estudios Migratorios")</f>
        <v>0</v>
      </c>
      <c r="BC150" s="4">
        <f>SUMIFS( E4:E451, N4:N451,"2015", C4:C451,"Estudios Migratorios")</f>
        <v>0</v>
      </c>
      <c r="BD150" s="4">
        <f>SUMIFS( E4:E451, N4:N451,"2016", C4:C451,"Estudios Migratorios")</f>
        <v>0</v>
      </c>
      <c r="BE150" s="4">
        <f>SUMIFS( E4:E451, N4:N451,"2017", C4:C451,"Estudios Migratorios")</f>
        <v>20</v>
      </c>
      <c r="BF150" s="4">
        <f>SUMIFS( E4:E451, N4:N451,"2018", C4:C451,"Estudios Migratorios")</f>
        <v>2</v>
      </c>
      <c r="BG150" s="22">
        <f>AVERAGEIFS( E4:E451, C4:C451,"Estudios Migratorios")</f>
        <v>3.1428571428571428</v>
      </c>
      <c r="BH150" s="22">
        <v>0</v>
      </c>
      <c r="BI150" s="22">
        <v>0</v>
      </c>
      <c r="BJ150" s="22">
        <f>AVERAGEIFS( E4:E451, A4:A451,"2015", C4:C451,"Estudios Migratorios")</f>
        <v>0</v>
      </c>
      <c r="BK150" s="22">
        <f>AVERAGEIFS( E4:E451, A4:A451,"2016", C4:C451,"Estudios Migratorios")</f>
        <v>3</v>
      </c>
      <c r="BL150" s="22">
        <f>AVERAGEIFS( E4:E451, A4:A451,"2017", C4:C451,"Estudios Migratorios")</f>
        <v>4</v>
      </c>
      <c r="BM150" s="22">
        <f>AVERAGE(AT151:AT152)</f>
        <v>11</v>
      </c>
      <c r="BN150" s="22">
        <v>0</v>
      </c>
      <c r="BO150" s="22">
        <v>0</v>
      </c>
      <c r="BP150" s="22">
        <v>0</v>
      </c>
      <c r="BQ150" s="22">
        <f>AVERAGE(AZ151:AZ152)</f>
        <v>3</v>
      </c>
      <c r="BR150" s="22">
        <f>AVERAGE(BA151:BA152)</f>
        <v>8</v>
      </c>
    </row>
    <row r="151" spans="1:70" ht="15" customHeight="1" x14ac:dyDescent="0.25">
      <c r="A151">
        <v>2016</v>
      </c>
      <c r="B151" t="s">
        <v>4</v>
      </c>
      <c r="C151" t="s">
        <v>207</v>
      </c>
      <c r="D151" t="s">
        <v>40</v>
      </c>
      <c r="E151" s="17">
        <v>8</v>
      </c>
      <c r="F151" s="16" t="s">
        <v>215</v>
      </c>
      <c r="G151" t="s">
        <v>233</v>
      </c>
      <c r="H151" s="16" t="s">
        <v>233</v>
      </c>
      <c r="I151" t="s">
        <v>233</v>
      </c>
      <c r="J151" t="s">
        <v>234</v>
      </c>
      <c r="K151" t="s">
        <v>234</v>
      </c>
      <c r="L151" t="s">
        <v>234</v>
      </c>
      <c r="M151" s="14">
        <v>42825</v>
      </c>
      <c r="N151" s="14" t="str">
        <f t="shared" si="2"/>
        <v>2017</v>
      </c>
      <c r="O151" s="64" t="s">
        <v>173</v>
      </c>
      <c r="P151" s="65"/>
      <c r="Q151" s="65"/>
      <c r="R151" s="65"/>
      <c r="S151" s="65"/>
      <c r="T151" s="66"/>
      <c r="U151" s="5">
        <f>COUNTIFS(   D4:D451,"Análisis social, cultural y de género de las migraciones")</f>
        <v>4</v>
      </c>
      <c r="V151" s="5">
        <f>COUNTIFS(   D4:D451,"Análisis social, cultural y de género de las migraciones",F4:F451,"Hombre")</f>
        <v>3</v>
      </c>
      <c r="W151" s="5">
        <f>COUNTIFS(   D4:D451,"Análisis social, cultural y de género de las migraciones",F4:F451,"Mujer")</f>
        <v>1</v>
      </c>
      <c r="X151" s="29">
        <f>COUNTIFS(   A4:A451,"2013", D4:D451,"Análisis social, cultural y de género de las migraciones")</f>
        <v>0</v>
      </c>
      <c r="Y151" s="5">
        <f>COUNTIFS(   A4:A451,"2014", D4:D451,"Análisis social, cultural y de género de las migraciones")</f>
        <v>0</v>
      </c>
      <c r="Z151" s="5">
        <f>COUNTIFS(   A4:A451,"2015", D4:D451,"Análisis social, cultural y de género de las migraciones")</f>
        <v>1</v>
      </c>
      <c r="AA151" s="5">
        <f>COUNTIFS(   A4:A451,"2016", D4:D451,"Análisis social, cultural y de género de las migraciones")</f>
        <v>2</v>
      </c>
      <c r="AB151" s="5">
        <f>COUNTIFS(   A4:A451,"2017", D4:D451,"Análisis social, cultural y de género de las migraciones")</f>
        <v>1</v>
      </c>
      <c r="AC151" s="29">
        <f>COUNTIFS(   N4:N451,"2014", D4:D451,"Análisis social, cultural y de género de las migraciones")</f>
        <v>0</v>
      </c>
      <c r="AD151" s="5">
        <f>COUNTIFS(   N4:N451,"2015", D4:D451,"Análisis social, cultural y de género de las migraciones")</f>
        <v>0</v>
      </c>
      <c r="AE151" s="5">
        <f>COUNTIFS(   N4:N451,"2016", D4:D451,"Análisis social, cultural y de género de las migraciones")</f>
        <v>1</v>
      </c>
      <c r="AF151" s="5">
        <f>COUNTIFS(   N4:N451,"2017", D4:D451,"Análisis social, cultural y de género de las migraciones")</f>
        <v>3</v>
      </c>
      <c r="AG151" s="5">
        <f>COUNTIFS(   N4:N451,"2018", D4:D451,"Análisis social, cultural y de género de las migraciones")</f>
        <v>0</v>
      </c>
      <c r="AH151" s="5">
        <f>COUNTIFS(   D4:D451,"Análisis social, cultural y de género de las migraciones",G4:G451,"Sí")</f>
        <v>0</v>
      </c>
      <c r="AI151" s="5">
        <f>COUNTIFS(   D4:D451,"Análisis social, cultural y de género de las migraciones",G4:G451,"No")</f>
        <v>4</v>
      </c>
      <c r="AJ151" s="5">
        <f>SUMIFS( E4:E451, D4:D451,"Análisis social, cultural y de género de las migraciones",G4:G451,"Sí")</f>
        <v>0</v>
      </c>
      <c r="AK151" s="5">
        <f>SUMIFS( E4:E451, D4:D451,"Análisis social, cultural y de género de las migraciones",G4:G451,"No")</f>
        <v>12</v>
      </c>
      <c r="AL151" s="5">
        <f>COUNTIFS(   D4:D451,"Análisis social, cultural y de género de las migraciones",H4:H451,"Sí")</f>
        <v>1</v>
      </c>
      <c r="AM151" s="5">
        <f>COUNTIFS(   D4:D451,"Análisis social, cultural y de género de las migraciones",I4:I451,"Sí")</f>
        <v>1</v>
      </c>
      <c r="AN151" s="5">
        <f>COUNTIFS(   D4:D451,"Análisis social, cultural y de género de las migraciones",I4:I451,"No")</f>
        <v>3</v>
      </c>
      <c r="AO151" s="5">
        <f>SUMIFS( E4:E451, D4:D451,"Análisis social, cultural y de género de las migraciones",I4:I451,"Sí")</f>
        <v>4</v>
      </c>
      <c r="AP151" s="5">
        <f>SUMIFS( E4:E451, D4:D451,"Análisis social, cultural y de género de las migraciones",I4:I451,"No")</f>
        <v>8</v>
      </c>
      <c r="AQ151" s="5">
        <f>COUNTIFS(   D4:D451,"Análisis social, cultural y de género de las migraciones",J4:J451,"Sí")</f>
        <v>3</v>
      </c>
      <c r="AR151" s="5">
        <f>COUNTIFS(   D4:D451,"Análisis social, cultural y de género de las migraciones",K4:K451,"Sí")</f>
        <v>1</v>
      </c>
      <c r="AS151" s="5">
        <f>COUNTIFS(   D4:D451,"Análisis social, cultural y de género de las migraciones",L4:L451,"Sí")</f>
        <v>3</v>
      </c>
      <c r="AT151" s="5">
        <f>SUMIFS( E4:E451, D4:D451,"Análisis social, cultural y de género de las migraciones")</f>
        <v>12</v>
      </c>
      <c r="AU151" s="5">
        <f>SUMIFS( E4:E451, F4:F451,"Hombre", D4:D451,"Análisis social, cultural y de género de las migraciones")</f>
        <v>10</v>
      </c>
      <c r="AV151" s="5">
        <f>SUMIFS( E4:E451, F4:F451,"Mujer", D4:D451,"Análisis social, cultural y de género de las migraciones")</f>
        <v>2</v>
      </c>
      <c r="AW151" s="29">
        <f>SUMIFS( E4:E451, A4:A451,"2013", D4:D451,"Análisis social, cultural y de género de las migraciones")</f>
        <v>0</v>
      </c>
      <c r="AX151" s="5">
        <f>SUMIFS( E4:E451, A4:A451,"2014", D4:D451,"Análisis social, cultural y de género de las migraciones")</f>
        <v>0</v>
      </c>
      <c r="AY151" s="5">
        <f>SUMIFS( E4:E451, A4:A451,"2015", D4:D451,"Análisis social, cultural y de género de las migraciones")</f>
        <v>0</v>
      </c>
      <c r="AZ151" s="5">
        <f>SUMIFS( E4:E451, A4:A451,"2016", D4:D451,"Análisis social, cultural y de género de las migraciones")</f>
        <v>6</v>
      </c>
      <c r="BA151" s="5">
        <f>SUMIFS( E4:E451, A4:A451,"2017", D4:D451,"Análisis social, cultural y de género de las migraciones")</f>
        <v>6</v>
      </c>
      <c r="BB151" s="29">
        <f>SUMIFS( E4:E451, N4:N451,"2014", D4:D451,"Análisis social, cultural y de género de las migraciones")</f>
        <v>0</v>
      </c>
      <c r="BC151" s="5">
        <f>SUMIFS( E4:E451, N4:N451,"2015", D4:D451,"Análisis social, cultural y de género de las migraciones")</f>
        <v>0</v>
      </c>
      <c r="BD151" s="5">
        <f>SUMIFS( E4:E451, N4:N451,"2016", D4:D451,"Análisis social, cultural y de género de las migraciones")</f>
        <v>0</v>
      </c>
      <c r="BE151" s="5">
        <f>SUMIFS( E4:E451, N4:N451,"2017", D4:D451,"Análisis social, cultural y de género de las migraciones")</f>
        <v>12</v>
      </c>
      <c r="BF151" s="5">
        <f>SUMIFS( E4:E451, N4:N451,"2018", D4:D451,"Análisis social, cultural y de género de las migraciones")</f>
        <v>0</v>
      </c>
      <c r="BG151" s="23">
        <f>AVERAGEIFS( E4:E451, D4:D451,"Análisis social, cultural y de género de las migraciones")</f>
        <v>3</v>
      </c>
      <c r="BH151" s="23">
        <v>0</v>
      </c>
      <c r="BI151" s="23">
        <v>0</v>
      </c>
      <c r="BJ151" s="23">
        <f>AVERAGEIFS( E4:E451, A4:A451,"2015", D4:D451,"Análisis social, cultural y de género de las migraciones")</f>
        <v>0</v>
      </c>
      <c r="BK151" s="23">
        <f>AVERAGEIFS( E4:E451, A4:A451,"2016", D4:D451,"Análisis social, cultural y de género de las migraciones")</f>
        <v>3</v>
      </c>
      <c r="BL151" s="23">
        <f>AVERAGEIFS( E4:E451, A4:A451,"2017", D4:D451,"Análisis social, cultural y de género de las migraciones")</f>
        <v>6</v>
      </c>
      <c r="BM151" s="23">
        <v>3</v>
      </c>
      <c r="BN151" s="23">
        <v>0</v>
      </c>
      <c r="BO151" s="23">
        <v>0</v>
      </c>
      <c r="BP151" s="23">
        <v>0</v>
      </c>
      <c r="BQ151" s="23">
        <v>3</v>
      </c>
      <c r="BR151" s="23">
        <v>6</v>
      </c>
    </row>
    <row r="152" spans="1:70" ht="15" customHeight="1" x14ac:dyDescent="0.25">
      <c r="A152">
        <v>2016</v>
      </c>
      <c r="B152" t="s">
        <v>4</v>
      </c>
      <c r="C152" t="s">
        <v>207</v>
      </c>
      <c r="D152" t="s">
        <v>40</v>
      </c>
      <c r="E152">
        <v>4</v>
      </c>
      <c r="F152" s="16" t="s">
        <v>215</v>
      </c>
      <c r="G152" t="s">
        <v>233</v>
      </c>
      <c r="H152" s="16" t="s">
        <v>233</v>
      </c>
      <c r="I152" t="s">
        <v>234</v>
      </c>
      <c r="J152" t="s">
        <v>234</v>
      </c>
      <c r="K152" t="s">
        <v>234</v>
      </c>
      <c r="L152" t="s">
        <v>234</v>
      </c>
      <c r="M152" s="14">
        <v>42809</v>
      </c>
      <c r="N152" s="14" t="str">
        <f t="shared" si="2"/>
        <v>2017</v>
      </c>
      <c r="O152" s="64" t="s">
        <v>172</v>
      </c>
      <c r="P152" s="65"/>
      <c r="Q152" s="65"/>
      <c r="R152" s="65"/>
      <c r="S152" s="65"/>
      <c r="T152" s="66"/>
      <c r="U152" s="5">
        <f>COUNTIFS(   D4:D451,"Globalización y movilidad humana: trabajo y migraciones")</f>
        <v>3</v>
      </c>
      <c r="V152" s="5">
        <f>COUNTIFS(   D4:D451,"Globalización y movilidad humana: trabajo y migraciones",F4:F451,"Hombre")</f>
        <v>2</v>
      </c>
      <c r="W152" s="5">
        <f>COUNTIFS(   D4:D451,"Globalización y movilidad humana: trabajo y migraciones",F4:F451,"Mujer")</f>
        <v>1</v>
      </c>
      <c r="X152" s="29">
        <f>COUNTIFS(   A4:A451,"2013", D4:D451,"Globalización y movilidad humana: trabajo y migraciones")</f>
        <v>0</v>
      </c>
      <c r="Y152" s="5">
        <f>COUNTIFS(   A4:A451,"2014", D4:D451,"Globalización y movilidad humana: trabajo y migraciones")</f>
        <v>0</v>
      </c>
      <c r="Z152" s="5">
        <f>COUNTIFS(   A4:A451,"2015", D4:D451,"Globalización y movilidad humana: trabajo y migraciones")</f>
        <v>0</v>
      </c>
      <c r="AA152" s="5">
        <f>COUNTIFS(   A4:A451,"2016", D4:D451,"Globalización y movilidad humana: trabajo y migraciones")</f>
        <v>0</v>
      </c>
      <c r="AB152" s="5">
        <f>COUNTIFS(   A4:A451,"2017", D4:D451,"Globalización y movilidad humana: trabajo y migraciones")</f>
        <v>3</v>
      </c>
      <c r="AC152" s="29">
        <f>COUNTIFS(   N4:N451,"2014", D4:D451,"Globalización y movilidad humana: trabajo y migraciones")</f>
        <v>0</v>
      </c>
      <c r="AD152" s="5">
        <f>COUNTIFS(   N4:N451,"2015", D4:D451,"Globalización y movilidad humana: trabajo y migraciones")</f>
        <v>0</v>
      </c>
      <c r="AE152" s="5">
        <f>COUNTIFS(   N4:N451,"2016", D4:D451,"Globalización y movilidad humana: trabajo y migraciones")</f>
        <v>0</v>
      </c>
      <c r="AF152" s="5">
        <f>COUNTIFS(   N4:N451,"2017", D4:D451,"Globalización y movilidad humana: trabajo y migraciones")</f>
        <v>2</v>
      </c>
      <c r="AG152" s="5">
        <f>COUNTIFS(   N4:N451,"2018", D4:D451,"Globalización y movilidad humana: trabajo y migraciones")</f>
        <v>1</v>
      </c>
      <c r="AH152" s="5">
        <f>COUNTIFS(   D4:D451,"Globalización y movilidad humana: trabajo y migraciones",G4:G451,"Sí")</f>
        <v>0</v>
      </c>
      <c r="AI152" s="5">
        <f>COUNTIFS(   D4:D451,"Globalización y movilidad humana: trabajo y migraciones",G4:G451,"No")</f>
        <v>3</v>
      </c>
      <c r="AJ152" s="5">
        <f>SUMIFS( E4:E451, D4:D451,"Globalización y movilidad humana: trabajo y migraciones",G4:G451,"Sí")</f>
        <v>0</v>
      </c>
      <c r="AK152" s="5">
        <f>SUMIFS( E4:E451, D4:D451,"Globalización y movilidad humana: trabajo y migraciones",G4:G451,"No")</f>
        <v>10</v>
      </c>
      <c r="AL152" s="5">
        <f>COUNTIFS(   D4:D451,"Globalización y movilidad humana: trabajo y migraciones",H4:H451,"Sí")</f>
        <v>1</v>
      </c>
      <c r="AM152" s="5">
        <f>COUNTIFS(   D4:D451,"Globalización y movilidad humana: trabajo y migraciones",I4:I451,"Sí")</f>
        <v>2</v>
      </c>
      <c r="AN152" s="5">
        <f>COUNTIFS(   D4:D451,"Globalización y movilidad humana: trabajo y migraciones",I4:I451,"No")</f>
        <v>1</v>
      </c>
      <c r="AO152" s="5">
        <f>SUMIFS( E4:E451, D4:D451,"Globalización y movilidad humana: trabajo y migraciones",I4:I451,"Sí")</f>
        <v>8</v>
      </c>
      <c r="AP152" s="5">
        <f>SUMIFS( E4:E451, D4:D451,"Globalización y movilidad humana: trabajo y migraciones",I4:I451,"No")</f>
        <v>2</v>
      </c>
      <c r="AQ152" s="5">
        <f>COUNTIFS(   D4:D451,"Globalización y movilidad humana: trabajo y migraciones",J4:J451,"Sí")</f>
        <v>2</v>
      </c>
      <c r="AR152" s="5">
        <f>COUNTIFS(   D4:D451,"Globalización y movilidad humana: trabajo y migraciones",K4:K451,"Sí")</f>
        <v>3</v>
      </c>
      <c r="AS152" s="5">
        <f>COUNTIFS(   D4:D451,"Globalización y movilidad humana: trabajo y migraciones",L4:L451,"Sí")</f>
        <v>3</v>
      </c>
      <c r="AT152" s="5">
        <f>SUMIFS( E4:E451, D4:D451,"Globalización y movilidad humana: trabajo y migraciones")</f>
        <v>10</v>
      </c>
      <c r="AU152" s="5">
        <f>SUMIFS( E4:E451, F4:F451,"Hombre", D4:D451,"Globalización y movilidad humana: trabajo y migraciones")</f>
        <v>7</v>
      </c>
      <c r="AV152" s="5">
        <f>SUMIFS( E4:E451, F4:F451,"Mujer", D4:D451,"Globalización y movilidad humana: trabajo y migraciones")</f>
        <v>3</v>
      </c>
      <c r="AW152" s="29">
        <f>SUMIFS( E4:E451, A4:A451,"2013", D4:D451,"Globalización y movilidad humana: trabajo y migraciones")</f>
        <v>0</v>
      </c>
      <c r="AX152" s="5">
        <f>SUMIFS( E4:E451, A4:A451,"2014", D4:D451,"Globalización y movilidad humana: trabajo y migraciones")</f>
        <v>0</v>
      </c>
      <c r="AY152" s="5">
        <f>SUMIFS( E4:E451, A4:A451,"2015", D4:D451,"Globalización y movilidad humana: trabajo y migraciones")</f>
        <v>0</v>
      </c>
      <c r="AZ152" s="5">
        <f>SUMIFS( E4:E451, A4:A451,"2016", D4:D451,"Globalización y movilidad humana: trabajo y migraciones")</f>
        <v>0</v>
      </c>
      <c r="BA152" s="5">
        <f>SUMIFS( E4:E451, A4:A451,"2017", D4:D451,"Globalización y movilidad humana: trabajo y migraciones")</f>
        <v>10</v>
      </c>
      <c r="BB152" s="29">
        <f>SUMIFS( E4:E451, N4:N451,"2014", D4:D451,"Globalización y movilidad humana: trabajo y migraciones")</f>
        <v>0</v>
      </c>
      <c r="BC152" s="5">
        <f>SUMIFS( E4:E451, N4:N451,"2015", D4:D451,"Globalización y movilidad humana: trabajo y migraciones")</f>
        <v>0</v>
      </c>
      <c r="BD152" s="5">
        <f>SUMIFS( E4:E451, N4:N451,"2016", D4:D451,"Globalización y movilidad humana: trabajo y migraciones")</f>
        <v>0</v>
      </c>
      <c r="BE152" s="5">
        <f>SUMIFS( E4:E451, N4:N451,"2017", D4:D451,"Globalización y movilidad humana: trabajo y migraciones")</f>
        <v>8</v>
      </c>
      <c r="BF152" s="5">
        <f>SUMIFS( E4:E451, N4:N451,"2018", D4:D451,"Globalización y movilidad humana: trabajo y migraciones")</f>
        <v>2</v>
      </c>
      <c r="BG152" s="23">
        <f>AVERAGEIFS( E4:E451, D4:D451,"Globalización y movilidad humana: trabajo y migraciones")</f>
        <v>3.3333333333333335</v>
      </c>
      <c r="BH152" s="23">
        <v>0</v>
      </c>
      <c r="BI152" s="23">
        <v>0</v>
      </c>
      <c r="BJ152" s="23">
        <v>0</v>
      </c>
      <c r="BK152" s="23">
        <v>0</v>
      </c>
      <c r="BL152" s="23">
        <f>AVERAGEIFS( E4:E451, A4:A451,"2017", D4:D451,"Globalización y movilidad humana: trabajo y migraciones")</f>
        <v>3.3333333333333335</v>
      </c>
      <c r="BM152" s="23">
        <v>3.3333333333333335</v>
      </c>
      <c r="BN152" s="23">
        <v>0</v>
      </c>
      <c r="BO152" s="23">
        <v>0</v>
      </c>
      <c r="BP152" s="23">
        <v>0</v>
      </c>
      <c r="BQ152" s="23">
        <v>0</v>
      </c>
      <c r="BR152" s="23">
        <v>3.3333333333333335</v>
      </c>
    </row>
    <row r="153" spans="1:70" ht="15" customHeight="1" x14ac:dyDescent="0.25">
      <c r="A153">
        <v>2016</v>
      </c>
      <c r="B153" t="s">
        <v>4</v>
      </c>
      <c r="C153" t="s">
        <v>207</v>
      </c>
      <c r="D153" t="s">
        <v>41</v>
      </c>
      <c r="E153" s="17">
        <v>21</v>
      </c>
      <c r="F153" s="16" t="s">
        <v>211</v>
      </c>
      <c r="G153" t="s">
        <v>233</v>
      </c>
      <c r="H153" s="16" t="s">
        <v>234</v>
      </c>
      <c r="I153" t="s">
        <v>233</v>
      </c>
      <c r="J153" t="s">
        <v>234</v>
      </c>
      <c r="K153" t="s">
        <v>234</v>
      </c>
      <c r="L153" t="s">
        <v>234</v>
      </c>
      <c r="M153" s="14">
        <v>42807</v>
      </c>
      <c r="N153" s="14" t="str">
        <f t="shared" si="2"/>
        <v>2017</v>
      </c>
      <c r="O153" s="6" t="s">
        <v>75</v>
      </c>
      <c r="P153" s="12"/>
      <c r="Q153" s="12"/>
      <c r="R153" s="12"/>
      <c r="S153" s="12"/>
      <c r="T153" s="13"/>
      <c r="U153" s="4">
        <f>COUNTIFS(   C4:C451,"Filosofía")</f>
        <v>4</v>
      </c>
      <c r="V153" s="4">
        <f>COUNTIFS(   C4:C451,"Filosofía",F4:F451,"Hombre")</f>
        <v>3</v>
      </c>
      <c r="W153" s="4">
        <f>COUNTIFS(   C4:C451,"Filosofía",F4:F451,"Mujer")</f>
        <v>1</v>
      </c>
      <c r="X153" s="28">
        <f>COUNTIFS(   A4:A451,"2013", C4:C451,"Filosofía")</f>
        <v>0</v>
      </c>
      <c r="Y153" s="4">
        <f>COUNTIFS(   A4:A451,"2014", C4:C451,"Filosofía")</f>
        <v>0</v>
      </c>
      <c r="Z153" s="4">
        <f>COUNTIFS(   A4:A451,"2015", C4:C451,"Filosofía")</f>
        <v>0</v>
      </c>
      <c r="AA153" s="4">
        <f>COUNTIFS(   A4:A451,"2016", C4:C451,"Filosofía")</f>
        <v>2</v>
      </c>
      <c r="AB153" s="4">
        <f>COUNTIFS(   A4:A451,"2017", C4:C451,"Filosofía")</f>
        <v>2</v>
      </c>
      <c r="AC153" s="28">
        <f>COUNTIFS(   N4:N451,"2014", C4:C451,"Filosofía")</f>
        <v>0</v>
      </c>
      <c r="AD153" s="4">
        <f>COUNTIFS(   N4:N451,"2015", C4:C451,"Filosofía")</f>
        <v>0</v>
      </c>
      <c r="AE153" s="4">
        <f>COUNTIFS(   N4:N451,"2016", C4:C451,"Filosofía")</f>
        <v>1</v>
      </c>
      <c r="AF153" s="4">
        <f>COUNTIFS(   N4:N451,"2017", C4:C451,"Filosofía")</f>
        <v>2</v>
      </c>
      <c r="AG153" s="4">
        <f>COUNTIFS(   N4:N451,"2018", C4:C451,"Filosofía")</f>
        <v>1</v>
      </c>
      <c r="AH153" s="4">
        <f>COUNTIFS(   C4:C451,"Filosofía",G4:G451,"Sí")</f>
        <v>0</v>
      </c>
      <c r="AI153" s="4">
        <f>COUNTIFS(   C4:C451,"Filosofía",G4:G451,"No")</f>
        <v>4</v>
      </c>
      <c r="AJ153" s="4">
        <f>SUMIFS( E4:E451, C4:C451,"Filosofía",G4:G451,"Sí")</f>
        <v>0</v>
      </c>
      <c r="AK153" s="4">
        <f>SUMIFS( E4:E451, C4:C451,"Filosofía",G4:G451,"No")</f>
        <v>22</v>
      </c>
      <c r="AL153" s="4">
        <f>COUNTIFS(   C4:C451,"Filosofía",H4:H451,"Sí")</f>
        <v>0</v>
      </c>
      <c r="AM153" s="4">
        <f>COUNTIFS(   C4:C451,"Filosofía",I4:I451,"Sí")</f>
        <v>4</v>
      </c>
      <c r="AN153" s="4">
        <f>COUNTIFS(   C4:C451,"Filosofía",I4:I451,"No")</f>
        <v>0</v>
      </c>
      <c r="AO153" s="4">
        <f>SUMIFS( E4:E451, C4:C451,"Filosofía",I4:I451,"Sí")</f>
        <v>22</v>
      </c>
      <c r="AP153" s="4">
        <f>SUMIFS( E4:E451, C4:C451,"Filosofía",I4:I451,"No")</f>
        <v>0</v>
      </c>
      <c r="AQ153" s="4">
        <f>COUNTIFS(   C4:C451,"Filosofía",J4:J451,"Sí")</f>
        <v>4</v>
      </c>
      <c r="AR153" s="4">
        <f>COUNTIFS(   C4:C451,"Filosofía",K4:K451,"Sí")</f>
        <v>3</v>
      </c>
      <c r="AS153" s="4">
        <f>COUNTIFS(   C4:C451,"Filosofía",L4:L451,"Sí")</f>
        <v>4</v>
      </c>
      <c r="AT153" s="4">
        <f>SUMIFS( E4:E451, C4:C451,"Filosofía")</f>
        <v>22</v>
      </c>
      <c r="AU153" s="4">
        <f>SUMIFS( E4:E451, F4:F451,"Hombre", C4:C451,"Filosofía")</f>
        <v>15</v>
      </c>
      <c r="AV153" s="4">
        <f>SUMIFS( E4:E451, F4:F451,"Mujer", C4:C451,"Filosofía")</f>
        <v>7</v>
      </c>
      <c r="AW153" s="28">
        <f>SUMIFS( E4:E451, A4:A451,"2013", C4:C451,"Filosofía")</f>
        <v>0</v>
      </c>
      <c r="AX153" s="4">
        <f>SUMIFS( E4:E451, A4:A451,"2014", C4:C451,"Filosofía")</f>
        <v>0</v>
      </c>
      <c r="AY153" s="4">
        <f>SUMIFS( E4:E451, A4:A451,"2015", C4:C451,"Filosofía")</f>
        <v>0</v>
      </c>
      <c r="AZ153" s="4">
        <f>SUMIFS( E4:E451, A4:A451,"2016", C4:C451,"Filosofía")</f>
        <v>7</v>
      </c>
      <c r="BA153" s="4">
        <f>SUMIFS( E4:E451, A4:A451,"2017", C4:C451,"Filosofía")</f>
        <v>15</v>
      </c>
      <c r="BB153" s="28">
        <f>SUMIFS( E4:E451, N4:N451,"2014", C4:C451,"Filosofía")</f>
        <v>0</v>
      </c>
      <c r="BC153" s="4">
        <f>SUMIFS( E4:E451, N4:N451,"2015", C4:C451,"Filosofía")</f>
        <v>0</v>
      </c>
      <c r="BD153" s="4">
        <f>SUMIFS( E4:E451, N4:N451,"2016", C4:C451,"Filosofía")</f>
        <v>7</v>
      </c>
      <c r="BE153" s="4">
        <f>SUMIFS( E4:E451, N4:N451,"2017", C4:C451,"Filosofía")</f>
        <v>14</v>
      </c>
      <c r="BF153" s="4">
        <f>SUMIFS( E4:E451, N4:N451,"2018", C4:C451,"Filosofía")</f>
        <v>1</v>
      </c>
      <c r="BG153" s="22">
        <f>AVERAGEIFS( E4:E451, C4:C451,"Filosofía")</f>
        <v>5.5</v>
      </c>
      <c r="BH153" s="22">
        <v>0</v>
      </c>
      <c r="BI153" s="22">
        <v>0</v>
      </c>
      <c r="BJ153" s="22">
        <v>0</v>
      </c>
      <c r="BK153" s="22">
        <f>AVERAGEIFS( E4:E451, A4:A451,"2016", C4:C451,"Filosofía")</f>
        <v>3.5</v>
      </c>
      <c r="BL153" s="22">
        <f>AVERAGEIFS( E4:E451, A4:A451,"2017", C4:C451,"Filosofía")</f>
        <v>7.5</v>
      </c>
      <c r="BM153" s="22">
        <f>AVERAGE(AT154:AT157)</f>
        <v>5.5</v>
      </c>
      <c r="BN153" s="22">
        <v>0</v>
      </c>
      <c r="BO153" s="22">
        <v>0</v>
      </c>
      <c r="BP153" s="22">
        <v>0</v>
      </c>
      <c r="BQ153" s="22">
        <f>AVERAGE(AZ154:AZ157)</f>
        <v>1.75</v>
      </c>
      <c r="BR153" s="22">
        <f>AVERAGE(BA154:BA157)</f>
        <v>3.75</v>
      </c>
    </row>
    <row r="154" spans="1:70" ht="15" customHeight="1" x14ac:dyDescent="0.25">
      <c r="A154">
        <v>2016</v>
      </c>
      <c r="B154" t="s">
        <v>4</v>
      </c>
      <c r="C154" t="s">
        <v>207</v>
      </c>
      <c r="D154" t="s">
        <v>42</v>
      </c>
      <c r="E154" s="17">
        <v>5</v>
      </c>
      <c r="F154" s="16" t="s">
        <v>211</v>
      </c>
      <c r="G154" t="s">
        <v>233</v>
      </c>
      <c r="H154" s="16" t="s">
        <v>233</v>
      </c>
      <c r="I154" t="s">
        <v>234</v>
      </c>
      <c r="J154" t="s">
        <v>234</v>
      </c>
      <c r="K154" t="s">
        <v>233</v>
      </c>
      <c r="L154" t="s">
        <v>234</v>
      </c>
      <c r="M154" s="14">
        <v>42797</v>
      </c>
      <c r="N154" s="14" t="str">
        <f t="shared" si="2"/>
        <v>2017</v>
      </c>
      <c r="O154" s="64" t="s">
        <v>175</v>
      </c>
      <c r="P154" s="65"/>
      <c r="Q154" s="65"/>
      <c r="R154" s="65"/>
      <c r="S154" s="65"/>
      <c r="T154" s="66"/>
      <c r="U154" s="5">
        <f>COUNTIFS(   D4:D451,"Génesis de la modernidad: de Leibniz a Kant")</f>
        <v>1</v>
      </c>
      <c r="V154" s="5">
        <f>COUNTIFS(   D4:D451,"Génesis de la modernidad: de Leibniz a Kant",F4:F451,"Hombre")</f>
        <v>1</v>
      </c>
      <c r="W154" s="5">
        <f>COUNTIFS(   D4:D451,"Génesis de la modernidad: de Leibniz a Kant",F4:F451,"Mujer")</f>
        <v>0</v>
      </c>
      <c r="X154" s="29">
        <f>COUNTIFS(   A4:A451,"2013", D4:D451,"Génesis de la modernidad: de Leibniz a Kant")</f>
        <v>0</v>
      </c>
      <c r="Y154" s="5">
        <f>COUNTIFS(   A4:A451,"2014", D4:D451,"Génesis de la modernidad: de Leibniz a Kant")</f>
        <v>0</v>
      </c>
      <c r="Z154" s="5">
        <f>COUNTIFS(   A4:A451,"2015", D4:D451,"Génesis de la modernidad: de Leibniz a Kant")</f>
        <v>0</v>
      </c>
      <c r="AA154" s="5">
        <f>COUNTIFS(   A4:A451,"2016", D4:D451,"Génesis de la modernidad: de Leibniz a Kant")</f>
        <v>0</v>
      </c>
      <c r="AB154" s="5">
        <f>COUNTIFS(   A4:A451,"2017", D4:D451,"Génesis de la modernidad: de Leibniz a Kant")</f>
        <v>1</v>
      </c>
      <c r="AC154" s="29">
        <f>COUNTIFS(   N4:N451,"2014", D4:D451,"Génesis de la modernidad: de Leibniz a Kant")</f>
        <v>0</v>
      </c>
      <c r="AD154" s="5">
        <f>COUNTIFS(   N4:N451,"2015", D4:D451,"Génesis de la modernidad: de Leibniz a Kant")</f>
        <v>0</v>
      </c>
      <c r="AE154" s="5">
        <f>COUNTIFS(   N4:N451,"2016", D4:D451,"Génesis de la modernidad: de Leibniz a Kant")</f>
        <v>0</v>
      </c>
      <c r="AF154" s="5">
        <f>COUNTIFS(   N4:N451,"2017", D4:D451,"Génesis de la modernidad: de Leibniz a Kant")</f>
        <v>0</v>
      </c>
      <c r="AG154" s="5">
        <f>COUNTIFS(   N4:N451,"2018", D4:D451,"Génesis de la modernidad: de Leibniz a Kant")</f>
        <v>1</v>
      </c>
      <c r="AH154" s="5">
        <f>COUNTIFS(   D4:D451,"Génesis de la modernidad: de Leibniz a Kant",G4:G451,"Sí")</f>
        <v>0</v>
      </c>
      <c r="AI154" s="5">
        <f>COUNTIFS(   D4:D451,"Génesis de la modernidad: de Leibniz a Kant",G4:G451,"No")</f>
        <v>1</v>
      </c>
      <c r="AJ154" s="5">
        <f>SUMIFS( E4:E451, D4:D451,"Génesis de la modernidad: de Leibniz a Kant",G4:G451,"Sí")</f>
        <v>0</v>
      </c>
      <c r="AK154" s="5">
        <f>SUMIFS( E4:E451, D4:D451,"Génesis de la modernidad: de Leibniz a Kant",G4:G451,"No")</f>
        <v>1</v>
      </c>
      <c r="AL154" s="5">
        <f>COUNTIFS(   D4:D451,"Génesis de la modernidad: de Leibniz a Kant",H4:H451,"Sí")</f>
        <v>0</v>
      </c>
      <c r="AM154" s="5">
        <f>COUNTIFS(   D4:D451,"Génesis de la modernidad: de Leibniz a Kant",I4:I451,"Sí")</f>
        <v>1</v>
      </c>
      <c r="AN154" s="5">
        <f>COUNTIFS(   D4:D451,"Génesis de la modernidad: de Leibniz a Kant",I4:I451,"No")</f>
        <v>0</v>
      </c>
      <c r="AO154" s="5">
        <f>SUMIFS( E4:E451, D4:D451,"Génesis de la modernidad: de Leibniz a Kant",I4:I451,"Sí")</f>
        <v>1</v>
      </c>
      <c r="AP154" s="5">
        <f>SUMIFS( E4:E451, D4:D451,"Génesis de la modernidad: de Leibniz a Kant",I4:I451,"No")</f>
        <v>0</v>
      </c>
      <c r="AQ154" s="5">
        <f>COUNTIFS(   D4:D451,"Génesis de la modernidad: de Leibniz a Kant",J4:J451,"Sí")</f>
        <v>1</v>
      </c>
      <c r="AR154" s="5">
        <f>COUNTIFS(   D4:D451,"Génesis de la modernidad: de Leibniz a Kant",K4:K451,"Sí")</f>
        <v>1</v>
      </c>
      <c r="AS154" s="5">
        <f>COUNTIFS(   D4:D451,"Génesis de la modernidad: de Leibniz a Kant",L4:L451,"Sí")</f>
        <v>1</v>
      </c>
      <c r="AT154" s="5">
        <f>SUMIFS( E4:E451, D4:D451,"Génesis de la modernidad: de Leibniz a Kant")</f>
        <v>1</v>
      </c>
      <c r="AU154" s="5">
        <f>SUMIFS( E4:E451, F4:F451,"Hombre", D4:D451,"Génesis de la modernidad: de Leibniz a Kant")</f>
        <v>1</v>
      </c>
      <c r="AV154" s="5">
        <f>SUMIFS( E4:E451, F4:F451,"Mujer", D4:D451,"Génesis de la modernidad: de Leibniz a Kant")</f>
        <v>0</v>
      </c>
      <c r="AW154" s="29">
        <f>SUMIFS( E4:E451, A4:A451,"2013", D4:D451,"Génesis de la modernidad: de Leibniz a Kant")</f>
        <v>0</v>
      </c>
      <c r="AX154" s="5">
        <f>SUMIFS( E4:E451, A4:A451,"2014", D4:D451,"Génesis de la modernidad: de Leibniz a Kant")</f>
        <v>0</v>
      </c>
      <c r="AY154" s="5">
        <f>SUMIFS( E4:E451, A4:A451,"2015", D4:D451,"Génesis de la modernidad: de Leibniz a Kant")</f>
        <v>0</v>
      </c>
      <c r="AZ154" s="5">
        <f>SUMIFS( E4:E451, A4:A451,"2016", D4:D451,"Génesis de la modernidad: de Leibniz a Kant")</f>
        <v>0</v>
      </c>
      <c r="BA154" s="5">
        <f>SUMIFS( E4:E451, A4:A451,"2017", D4:D451,"Génesis de la modernidad: de Leibniz a Kant")</f>
        <v>1</v>
      </c>
      <c r="BB154" s="29">
        <f>SUMIFS( E4:E451, N4:N451,"2014", D4:D451,"Génesis de la modernidad: de Leibniz a Kant")</f>
        <v>0</v>
      </c>
      <c r="BC154" s="5">
        <f>SUMIFS( E4:E451, N4:N451,"2015", D4:D451,"Génesis de la modernidad: de Leibniz a Kant")</f>
        <v>0</v>
      </c>
      <c r="BD154" s="5">
        <f>SUMIFS( E4:E451, N4:N451,"2016", D4:D451,"Génesis de la modernidad: de Leibniz a Kant")</f>
        <v>0</v>
      </c>
      <c r="BE154" s="5">
        <f>SUMIFS( E4:E451, N4:N451,"2017", D4:D451,"Génesis de la modernidad: de Leibniz a Kant")</f>
        <v>0</v>
      </c>
      <c r="BF154" s="5">
        <f>SUMIFS( E4:E451, N4:N451,"2018", D4:D451,"Génesis de la modernidad: de Leibniz a Kant")</f>
        <v>1</v>
      </c>
      <c r="BG154" s="23">
        <f>AVERAGEIFS( E4:E451, D4:D451,"Génesis de la modernidad: de Leibniz a Kant")</f>
        <v>1</v>
      </c>
      <c r="BH154" s="23">
        <v>0</v>
      </c>
      <c r="BI154" s="23">
        <v>0</v>
      </c>
      <c r="BJ154" s="23">
        <v>0</v>
      </c>
      <c r="BK154" s="23">
        <v>0</v>
      </c>
      <c r="BL154" s="23">
        <f>AVERAGEIFS( E4:E451, A4:A451,"2017", D4:D451,"Génesis de la modernidad: de Leibniz a Kant")</f>
        <v>1</v>
      </c>
      <c r="BM154" s="23">
        <v>1</v>
      </c>
      <c r="BN154" s="23">
        <v>0</v>
      </c>
      <c r="BO154" s="23">
        <v>0</v>
      </c>
      <c r="BP154" s="23">
        <v>0</v>
      </c>
      <c r="BQ154" s="23">
        <v>0</v>
      </c>
      <c r="BR154" s="23">
        <v>1</v>
      </c>
    </row>
    <row r="155" spans="1:70" ht="15" customHeight="1" x14ac:dyDescent="0.25">
      <c r="A155">
        <v>2015</v>
      </c>
      <c r="B155" t="s">
        <v>4</v>
      </c>
      <c r="C155" t="s">
        <v>207</v>
      </c>
      <c r="D155" t="s">
        <v>42</v>
      </c>
      <c r="E155">
        <v>3</v>
      </c>
      <c r="F155" s="16" t="s">
        <v>215</v>
      </c>
      <c r="G155" t="s">
        <v>233</v>
      </c>
      <c r="H155" s="16" t="s">
        <v>233</v>
      </c>
      <c r="I155" t="s">
        <v>234</v>
      </c>
      <c r="J155" t="s">
        <v>233</v>
      </c>
      <c r="K155" t="s">
        <v>233</v>
      </c>
      <c r="L155" t="s">
        <v>233</v>
      </c>
      <c r="M155" s="14">
        <v>42527</v>
      </c>
      <c r="N155" s="14" t="str">
        <f t="shared" si="2"/>
        <v>2016</v>
      </c>
      <c r="O155" s="64" t="s">
        <v>176</v>
      </c>
      <c r="P155" s="65"/>
      <c r="Q155" s="65"/>
      <c r="R155" s="65"/>
      <c r="S155" s="65"/>
      <c r="T155" s="66"/>
      <c r="U155" s="5">
        <f>COUNTIFS(   D4:D451,"Metafísica y Nihilismo: filosofía como terapia y el problema de las pasiones")</f>
        <v>1</v>
      </c>
      <c r="V155" s="5">
        <f>COUNTIFS(   D4:D451,"Metafísica y Nihilismo: filosofía como terapia y el problema de las pasiones",F4:F451,"Hombre")</f>
        <v>1</v>
      </c>
      <c r="W155" s="5">
        <f>COUNTIFS(   D4:D451,"Metafísica y Nihilismo: filosofía como terapia y el problema de las pasiones",F4:F451,"Mujer")</f>
        <v>0</v>
      </c>
      <c r="X155" s="29">
        <f>COUNTIFS(   A4:A451,"2013", D4:D451,"Metafísica y Nihilismo: filosofía como terapia y el problema de las pasiones")</f>
        <v>0</v>
      </c>
      <c r="Y155" s="5">
        <f>COUNTIFS(   A4:A451,"2014", D4:D451,"Metafísica y Nihilismo: filosofía como terapia y el problema de las pasiones")</f>
        <v>0</v>
      </c>
      <c r="Z155" s="5">
        <f>COUNTIFS(   A4:A451,"2015", D4:D451,"Metafísica y Nihilismo: filosofía como terapia y el problema de las pasiones")</f>
        <v>0</v>
      </c>
      <c r="AA155" s="5">
        <f>COUNTIFS(   A4:A451,"2016", D4:D451,"Metafísica y Nihilismo: filosofía como terapia y el problema de las pasiones")</f>
        <v>0</v>
      </c>
      <c r="AB155" s="5">
        <f>COUNTIFS(   A4:A451,"2017", D4:D451,"Metafísica y Nihilismo: filosofía como terapia y el problema de las pasiones")</f>
        <v>1</v>
      </c>
      <c r="AC155" s="29">
        <f>COUNTIFS(   N4:N451,"2014", D4:D451,"Metafísica y Nihilismo: filosofía como terapia y el problema de las pasiones")</f>
        <v>0</v>
      </c>
      <c r="AD155" s="5">
        <f>COUNTIFS(   N4:N451,"2015", D4:D451,"Metafísica y Nihilismo: filosofía como terapia y el problema de las pasiones")</f>
        <v>0</v>
      </c>
      <c r="AE155" s="5">
        <f>COUNTIFS(   N4:N451,"2016", D4:D451,"Metafísica y Nihilismo: filosofía como terapia y el problema de las pasiones")</f>
        <v>0</v>
      </c>
      <c r="AF155" s="5">
        <f>COUNTIFS(   N4:N451,"2017", D4:D451,"Metafísica y Nihilismo: filosofía como terapia y el problema de las pasiones")</f>
        <v>1</v>
      </c>
      <c r="AG155" s="5">
        <f>COUNTIFS(   N4:N451,"2018", D4:D451,"Metafísica y Nihilismo: filosofía como terapia y el problema de las pasiones")</f>
        <v>0</v>
      </c>
      <c r="AH155" s="5">
        <f>COUNTIFS(   D4:D451,"Metafísica y Nihilismo: filosofía como terapia y el problema de las pasiones",G4:G451,"Sí")</f>
        <v>0</v>
      </c>
      <c r="AI155" s="5">
        <f>COUNTIFS(   D4:D451,"Metafísica y Nihilismo: filosofía como terapia y el problema de las pasiones",G4:G451,"No")</f>
        <v>1</v>
      </c>
      <c r="AJ155" s="5">
        <f>SUMIFS( E4:E451, D4:D451,"Metafísica y Nihilismo: filosofía como terapia y el problema de las pasiones",G4:G451,"Sí")</f>
        <v>0</v>
      </c>
      <c r="AK155" s="5">
        <f>SUMIFS( E4:E451, D4:D451,"Metafísica y Nihilismo: filosofía como terapia y el problema de las pasiones",G4:G451,"No")</f>
        <v>14</v>
      </c>
      <c r="AL155" s="5">
        <f>COUNTIFS(   D4:D451,"Metafísica y Nihilismo: filosofía como terapia y el problema de las pasiones",H4:H451,"Sí")</f>
        <v>0</v>
      </c>
      <c r="AM155" s="5">
        <f>COUNTIFS(   D4:D451,"Metafísica y Nihilismo: filosofía como terapia y el problema de las pasiones",I4:I451,"Sí")</f>
        <v>1</v>
      </c>
      <c r="AN155" s="5">
        <f>COUNTIFS(   D4:D451,"Metafísica y Nihilismo: filosofía como terapia y el problema de las pasiones",I4:I451,"No")</f>
        <v>0</v>
      </c>
      <c r="AO155" s="5">
        <f>SUMIFS( E4:E451, D4:D451,"Metafísica y Nihilismo: filosofía como terapia y el problema de las pasiones",I4:I451,"Sí")</f>
        <v>14</v>
      </c>
      <c r="AP155" s="5">
        <f>SUMIFS( E4:E451, D4:D451,"Metafísica y Nihilismo: filosofía como terapia y el problema de las pasiones",I4:I451,"No")</f>
        <v>0</v>
      </c>
      <c r="AQ155" s="5">
        <f>COUNTIFS(   D4:D451,"Metafísica y Nihilismo: filosofía como terapia y el problema de las pasiones",J4:J451,"Sí")</f>
        <v>1</v>
      </c>
      <c r="AR155" s="5">
        <f>COUNTIFS(   D4:D451,"Metafísica y Nihilismo: filosofía como terapia y el problema de las pasiones",K4:K451,"Sí")</f>
        <v>1</v>
      </c>
      <c r="AS155" s="5">
        <f>COUNTIFS(   D4:D451,"Metafísica y Nihilismo: filosofía como terapia y el problema de las pasiones",L4:L451,"Sí")</f>
        <v>1</v>
      </c>
      <c r="AT155" s="5">
        <f>SUMIFS( E4:E451, D4:D451,"Metafísica y Nihilismo: filosofía como terapia y el problema de las pasiones")</f>
        <v>14</v>
      </c>
      <c r="AU155" s="5">
        <f>SUMIFS( E4:E451, F4:F451,"Hombre", D4:D451,"Metafísica y Nihilismo: filosofía como terapia y el problema de las pasiones")</f>
        <v>14</v>
      </c>
      <c r="AV155" s="5">
        <f>SUMIFS( E4:E451, F4:F451,"Mujer", D4:D451,"Metafísica y Nihilismo: filosofía como terapia y el problema de las pasiones")</f>
        <v>0</v>
      </c>
      <c r="AW155" s="29">
        <f>SUMIFS( E4:E451, A4:A451,"2013", D4:D451,"Metafísica y Nihilismo: filosofía como terapia y el problema de las pasiones")</f>
        <v>0</v>
      </c>
      <c r="AX155" s="5">
        <f>SUMIFS( E4:E451, A4:A451,"2014", D4:D451,"Metafísica y Nihilismo: filosofía como terapia y el problema de las pasiones")</f>
        <v>0</v>
      </c>
      <c r="AY155" s="5">
        <f>SUMIFS( E4:E451, A4:A451,"2015", D4:D451,"Metafísica y Nihilismo: filosofía como terapia y el problema de las pasiones")</f>
        <v>0</v>
      </c>
      <c r="AZ155" s="5">
        <f>SUMIFS( E4:E451, A4:A451,"2016", D4:D451,"Metafísica y Nihilismo: filosofía como terapia y el problema de las pasiones")</f>
        <v>0</v>
      </c>
      <c r="BA155" s="5">
        <f>SUMIFS( E4:E451, A4:A451,"2017", D4:D451,"Metafísica y Nihilismo: filosofía como terapia y el problema de las pasiones")</f>
        <v>14</v>
      </c>
      <c r="BB155" s="29">
        <f>SUMIFS( E4:E451, N4:N451,"2014", D4:D451,"Metafísica y Nihilismo: filosofía como terapia y el problema de las pasiones")</f>
        <v>0</v>
      </c>
      <c r="BC155" s="5">
        <f>SUMIFS( E4:E451, N4:N451,"2015", D4:D451,"Metafísica y Nihilismo: filosofía como terapia y el problema de las pasiones")</f>
        <v>0</v>
      </c>
      <c r="BD155" s="5">
        <f>SUMIFS( E4:E451, N4:N451,"2016", D4:D451,"Metafísica y Nihilismo: filosofía como terapia y el problema de las pasiones")</f>
        <v>0</v>
      </c>
      <c r="BE155" s="5">
        <f>SUMIFS( E4:E451, N4:N451,"2017", D4:D451,"Metafísica y Nihilismo: filosofía como terapia y el problema de las pasiones")</f>
        <v>14</v>
      </c>
      <c r="BF155" s="5">
        <f>SUMIFS( E4:E451, N4:N451,"2018", D4:D451,"Metafísica y Nihilismo: filosofía como terapia y el problema de las pasiones")</f>
        <v>0</v>
      </c>
      <c r="BG155" s="23">
        <f>AVERAGEIFS( E4:E451, D4:D451,"Metafísica y Nihilismo: filosofía como terapia y el problema de las pasiones")</f>
        <v>14</v>
      </c>
      <c r="BH155" s="23">
        <v>0</v>
      </c>
      <c r="BI155" s="23">
        <v>0</v>
      </c>
      <c r="BJ155" s="23">
        <v>0</v>
      </c>
      <c r="BK155" s="23">
        <v>0</v>
      </c>
      <c r="BL155" s="23">
        <f>AVERAGEIFS( E4:E451, A4:A451,"2017", D4:D451,"Metafísica y Nihilismo: filosofía como terapia y el problema de las pasiones")</f>
        <v>14</v>
      </c>
      <c r="BM155" s="23">
        <v>14</v>
      </c>
      <c r="BN155" s="23">
        <v>0</v>
      </c>
      <c r="BO155" s="23">
        <v>0</v>
      </c>
      <c r="BP155" s="23">
        <v>0</v>
      </c>
      <c r="BQ155" s="23">
        <v>0</v>
      </c>
      <c r="BR155" s="23">
        <v>14</v>
      </c>
    </row>
    <row r="156" spans="1:70" x14ac:dyDescent="0.25">
      <c r="A156">
        <v>2015</v>
      </c>
      <c r="B156" t="s">
        <v>4</v>
      </c>
      <c r="C156" t="s">
        <v>207</v>
      </c>
      <c r="D156" t="s">
        <v>42</v>
      </c>
      <c r="E156">
        <v>24</v>
      </c>
      <c r="F156" s="16" t="s">
        <v>211</v>
      </c>
      <c r="G156" t="s">
        <v>233</v>
      </c>
      <c r="H156" s="16" t="s">
        <v>234</v>
      </c>
      <c r="I156" t="s">
        <v>234</v>
      </c>
      <c r="J156" t="s">
        <v>234</v>
      </c>
      <c r="K156" t="s">
        <v>233</v>
      </c>
      <c r="L156" t="s">
        <v>234</v>
      </c>
      <c r="M156" s="14">
        <v>42521</v>
      </c>
      <c r="N156" s="14" t="str">
        <f t="shared" si="2"/>
        <v>2016</v>
      </c>
      <c r="O156" s="64" t="s">
        <v>177</v>
      </c>
      <c r="P156" s="65"/>
      <c r="Q156" s="65"/>
      <c r="R156" s="65"/>
      <c r="S156" s="65"/>
      <c r="T156" s="66"/>
      <c r="U156" s="5">
        <f>COUNTIFS(   D4:D451,"Lenguaje, mente y conocimiento: perspectivas formales y pragmáticas")</f>
        <v>1</v>
      </c>
      <c r="V156" s="5">
        <f>COUNTIFS(   D4:D451,"Lenguaje, mente y conocimiento: perspectivas formales y pragmáticas",F4:F451,"Hombre")</f>
        <v>1</v>
      </c>
      <c r="W156" s="5">
        <f>COUNTIFS(   D4:D451,"Lenguaje, mente y conocimiento: perspectivas formales y pragmáticas",F4:F451,"Mujer")</f>
        <v>0</v>
      </c>
      <c r="X156" s="29">
        <v>0</v>
      </c>
      <c r="Y156" s="5">
        <v>0</v>
      </c>
      <c r="Z156" s="5">
        <v>0</v>
      </c>
      <c r="AA156" s="5">
        <v>0</v>
      </c>
      <c r="AB156" s="5">
        <v>0</v>
      </c>
      <c r="AC156" s="29">
        <v>0</v>
      </c>
      <c r="AD156" s="5">
        <v>0</v>
      </c>
      <c r="AE156" s="5">
        <v>0</v>
      </c>
      <c r="AF156" s="5">
        <v>0</v>
      </c>
      <c r="AG156" s="5">
        <v>0</v>
      </c>
      <c r="AH156" s="5">
        <f>COUNTIFS(   D4:D451,"Lenguaje, mente y conocimiento: perspectivas formales y pragmáticas",G4:G451,"Sí")</f>
        <v>0</v>
      </c>
      <c r="AI156" s="5">
        <f>COUNTIFS(   D4:D451,"Lenguaje, mente y conocimiento: perspectivas formales y pragmáticas",G4:G451,"No")</f>
        <v>1</v>
      </c>
      <c r="AJ156" s="5">
        <f>SUMIFS( E4:E451, D4:D451,"Lenguaje, mente y conocimiento: perspectivas formales y pragmáticas",G4:G451,"Sí")</f>
        <v>0</v>
      </c>
      <c r="AK156" s="5">
        <f>SUMIFS( E4:E451, D4:D451,"Lenguaje, mente y conocimiento: perspectivas formales y pragmáticas",G4:G451,"No")</f>
        <v>0</v>
      </c>
      <c r="AL156" s="5">
        <f>COUNTIFS(   D4:D451,"Lenguaje, mente y conocimiento: perspectivas formales y pragmáticas",H4:H451,"Sí")</f>
        <v>0</v>
      </c>
      <c r="AM156" s="5">
        <f>COUNTIFS(   D4:D451,"Lenguaje, mente y conocimiento: perspectivas formales y pragmáticas",I4:I451,"Sí")</f>
        <v>1</v>
      </c>
      <c r="AN156" s="5">
        <f>COUNTIFS(   D4:D451,"Lenguaje, mente y conocimiento: perspectivas formales y pragmáticas",I4:I451,"No")</f>
        <v>0</v>
      </c>
      <c r="AO156" s="5">
        <f>SUMIFS( E4:E451, D4:D451,"Lenguaje, mente y conocimiento: perspectivas formales y pragmáticas",I4:I451,"Sí")</f>
        <v>0</v>
      </c>
      <c r="AP156" s="5">
        <f>SUMIFS( E4:E451, D4:D451,"Lenguaje, mente y conocimiento: perspectivas formales y pragmáticas",I4:I451,"No")</f>
        <v>0</v>
      </c>
      <c r="AQ156" s="5">
        <f>COUNTIFS(   D4:D451,"Lenguaje, mente y conocimiento: perspectivas formales y pragmáticas",J4:J451,"Sí")</f>
        <v>1</v>
      </c>
      <c r="AR156" s="5">
        <f>COUNTIFS(   D4:D451,"Lenguaje, mente y conocimiento: perspectivas formales y pragmáticas",K4:K451,"Sí")</f>
        <v>0</v>
      </c>
      <c r="AS156" s="5">
        <f>COUNTIFS(   D4:D451,"Lenguaje, mente y conocimiento: perspectivas formales y pragmáticas",L4:L451,"Sí")</f>
        <v>1</v>
      </c>
      <c r="AT156" s="5">
        <f>SUMIFS( E4:E451, D4:D451,"Lenguaje, mente y conocimiento: perspectivas formales y pragmáticas")</f>
        <v>0</v>
      </c>
      <c r="AU156" s="5">
        <v>0</v>
      </c>
      <c r="AV156" s="5">
        <v>0</v>
      </c>
      <c r="AW156" s="29">
        <v>0</v>
      </c>
      <c r="AX156" s="5">
        <v>0</v>
      </c>
      <c r="AY156" s="5">
        <v>0</v>
      </c>
      <c r="AZ156" s="5">
        <v>0</v>
      </c>
      <c r="BA156" s="5">
        <v>0</v>
      </c>
      <c r="BB156" s="29">
        <v>0</v>
      </c>
      <c r="BC156" s="5">
        <v>0</v>
      </c>
      <c r="BD156" s="5">
        <v>0</v>
      </c>
      <c r="BE156" s="5">
        <v>0</v>
      </c>
      <c r="BF156" s="5">
        <v>0</v>
      </c>
      <c r="BG156" s="23">
        <f>AVERAGEIFS( E4:E451, D4:D451,"Lenguaje, mente y conocimiento: perspectivas formales y pragmáticas")</f>
        <v>0</v>
      </c>
      <c r="BH156" s="23">
        <v>0</v>
      </c>
      <c r="BI156" s="23">
        <v>0</v>
      </c>
      <c r="BJ156" s="23">
        <v>0</v>
      </c>
      <c r="BK156" s="23">
        <v>0</v>
      </c>
      <c r="BL156" s="23">
        <v>0</v>
      </c>
      <c r="BM156" s="23">
        <v>0</v>
      </c>
      <c r="BN156" s="23">
        <v>0</v>
      </c>
      <c r="BO156" s="23">
        <v>0</v>
      </c>
      <c r="BP156" s="23">
        <v>0</v>
      </c>
      <c r="BQ156" s="23">
        <v>0</v>
      </c>
      <c r="BR156" s="23">
        <v>0</v>
      </c>
    </row>
    <row r="157" spans="1:70" ht="15" customHeight="1" x14ac:dyDescent="0.25">
      <c r="A157">
        <v>2015</v>
      </c>
      <c r="B157" t="s">
        <v>4</v>
      </c>
      <c r="C157" t="s">
        <v>207</v>
      </c>
      <c r="D157" t="s">
        <v>39</v>
      </c>
      <c r="E157">
        <v>5</v>
      </c>
      <c r="F157" s="16" t="s">
        <v>215</v>
      </c>
      <c r="G157" t="s">
        <v>233</v>
      </c>
      <c r="H157" s="16" t="s">
        <v>233</v>
      </c>
      <c r="I157" t="s">
        <v>234</v>
      </c>
      <c r="J157" t="s">
        <v>234</v>
      </c>
      <c r="K157" t="s">
        <v>233</v>
      </c>
      <c r="L157" t="s">
        <v>234</v>
      </c>
      <c r="M157" s="14">
        <v>42494</v>
      </c>
      <c r="N157" s="14" t="str">
        <f t="shared" si="2"/>
        <v>2016</v>
      </c>
      <c r="O157" s="64" t="s">
        <v>178</v>
      </c>
      <c r="P157" s="65"/>
      <c r="Q157" s="65"/>
      <c r="R157" s="65"/>
      <c r="S157" s="65"/>
      <c r="T157" s="66"/>
      <c r="U157" s="5">
        <f>COUNTIFS(   D4:D451,"Hermenéutica: crítica y diferencia. Problemas interculturales")</f>
        <v>1</v>
      </c>
      <c r="V157" s="5">
        <f>COUNTIFS(   D4:D451,"Hermenéutica: crítica y diferencia. Problemas interculturales",F4:F451,"Hombre")</f>
        <v>0</v>
      </c>
      <c r="W157" s="5">
        <f>COUNTIFS(   D4:D451,"Hermenéutica: crítica y diferencia. Problemas interculturales",F4:F451,"Mujer")</f>
        <v>1</v>
      </c>
      <c r="X157" s="29">
        <f>COUNTIFS(   A4:A451,"2013", D4:D451,"Hermenéutica: crítica y diferencia. Problemas interculturales")</f>
        <v>0</v>
      </c>
      <c r="Y157" s="5">
        <f>COUNTIFS(   A4:A451,"2014", D4:D451,"Hermenéutica: crítica y diferencia. Problemas interculturales")</f>
        <v>0</v>
      </c>
      <c r="Z157" s="5">
        <f>COUNTIFS(   A4:A451,"2015", D4:D451,"Hermenéutica: crítica y diferencia. Problemas interculturales")</f>
        <v>0</v>
      </c>
      <c r="AA157" s="5">
        <f>COUNTIFS(   A4:A451,"2016", D4:D451,"Hermenéutica: crítica y diferencia. Problemas interculturales")</f>
        <v>1</v>
      </c>
      <c r="AB157" s="5">
        <f>COUNTIFS(   A4:A451,"2017", D4:D451,"Hermenéutica: crítica y diferencia. Problemas interculturales")</f>
        <v>0</v>
      </c>
      <c r="AC157" s="29">
        <f>COUNTIFS(   N4:N451,"2014", D4:D451,"Hermenéutica: crítica y diferencia. Problemas interculturales")</f>
        <v>0</v>
      </c>
      <c r="AD157" s="5">
        <f>COUNTIFS(   N4:N451,"2015", D4:D451,"Hermenéutica: crítica y diferencia. Problemas interculturales")</f>
        <v>0</v>
      </c>
      <c r="AE157" s="5">
        <f>COUNTIFS(   N4:N451,"2016", D4:D451,"Hermenéutica: crítica y diferencia. Problemas interculturales")</f>
        <v>1</v>
      </c>
      <c r="AF157" s="5">
        <f>COUNTIFS(   N4:N451,"2017", D4:D451,"Hermenéutica: crítica y diferencia. Problemas interculturales")</f>
        <v>0</v>
      </c>
      <c r="AG157" s="5">
        <f>COUNTIFS(   N4:N451,"2018", D4:D451,"Hermenéutica: crítica y diferencia. Problemas interculturales")</f>
        <v>0</v>
      </c>
      <c r="AH157" s="5">
        <f>COUNTIFS(   D4:D451,"Hermenéutica: crítica y diferencia. Problemas interculturales",G4:G451,"Sí")</f>
        <v>0</v>
      </c>
      <c r="AI157" s="5">
        <f>COUNTIFS(   D4:D451,"Hermenéutica: crítica y diferencia. Problemas interculturales",G4:G451,"No")</f>
        <v>1</v>
      </c>
      <c r="AJ157" s="5">
        <f>SUMIFS( E4:E451, D4:D451,"Hermenéutica: crítica y diferencia. Problemas interculturales",G4:G451,"Sí")</f>
        <v>0</v>
      </c>
      <c r="AK157" s="5">
        <f>SUMIFS( E4:E451, D4:D451,"Hermenéutica: crítica y diferencia. Problemas interculturales",G4:G451,"No")</f>
        <v>7</v>
      </c>
      <c r="AL157" s="5">
        <f>COUNTIFS(   D4:D451,"Hermenéutica: crítica y diferencia. Problemas interculturales",H4:H451,"Sí")</f>
        <v>0</v>
      </c>
      <c r="AM157" s="5">
        <f>COUNTIFS(   D4:D451,"Hermenéutica: crítica y diferencia. Problemas interculturales",I4:I451,"Sí")</f>
        <v>1</v>
      </c>
      <c r="AN157" s="5">
        <f>COUNTIFS(   D4:D451,"Hermenéutica: crítica y diferencia. Problemas interculturales",I4:I451,"No")</f>
        <v>0</v>
      </c>
      <c r="AO157" s="5">
        <f>SUMIFS( E4:E451, D4:D451,"Hermenéutica: crítica y diferencia. Problemas interculturales",I4:I451,"Sí")</f>
        <v>7</v>
      </c>
      <c r="AP157" s="5">
        <f>SUMIFS( E4:E451, D4:D451,"Hermenéutica: crítica y diferencia. Problemas interculturales",I4:I451,"No")</f>
        <v>0</v>
      </c>
      <c r="AQ157" s="5">
        <f>COUNTIFS(   D4:D451,"Hermenéutica: crítica y diferencia. Problemas interculturales",J4:J451,"Sí")</f>
        <v>1</v>
      </c>
      <c r="AR157" s="5">
        <f>COUNTIFS(   D4:D451,"Hermenéutica: crítica y diferencia. Problemas interculturales",K4:K451,"Sí")</f>
        <v>1</v>
      </c>
      <c r="AS157" s="5">
        <f>COUNTIFS(   D4:D451,"Hermenéutica: crítica y diferencia. Problemas interculturales",L4:L451,"Sí")</f>
        <v>1</v>
      </c>
      <c r="AT157" s="5">
        <f>SUMIFS( E4:E451, D4:D451,"Hermenéutica: crítica y diferencia. Problemas interculturales")</f>
        <v>7</v>
      </c>
      <c r="AU157" s="5">
        <f>SUMIFS( E4:E451, F4:F451,"Hombre", D4:D451,"Hermenéutica: crítica y diferencia. Problemas interculturales")</f>
        <v>0</v>
      </c>
      <c r="AV157" s="5">
        <f>SUMIFS( E4:E451, F4:F451,"Mujer", D4:D451,"Hermenéutica: crítica y diferencia. Problemas interculturales")</f>
        <v>7</v>
      </c>
      <c r="AW157" s="29">
        <f>SUMIFS( E4:E451, A4:A451,"2013", D4:D451,"Hermenéutica: crítica y diferencia. Problemas interculturales")</f>
        <v>0</v>
      </c>
      <c r="AX157" s="5">
        <f>SUMIFS( E4:E451, A4:A451,"2014", D4:D451,"Hermenéutica: crítica y diferencia. Problemas interculturales")</f>
        <v>0</v>
      </c>
      <c r="AY157" s="5">
        <f>SUMIFS( E4:E451, A4:A451,"2015", D4:D451,"Hermenéutica: crítica y diferencia. Problemas interculturales")</f>
        <v>0</v>
      </c>
      <c r="AZ157" s="5">
        <f>SUMIFS( E4:E451, A4:A451,"2016", D4:D451,"Hermenéutica: crítica y diferencia. Problemas interculturales")</f>
        <v>7</v>
      </c>
      <c r="BA157" s="5">
        <f>SUMIFS( E4:E451, A4:A451,"2017", D4:D451,"Hermenéutica: crítica y diferencia. Problemas interculturales")</f>
        <v>0</v>
      </c>
      <c r="BB157" s="29">
        <f>SUMIFS( E4:E451, N4:N451,"2014", D4:D451,"Hermenéutica: crítica y diferencia. Problemas interculturales")</f>
        <v>0</v>
      </c>
      <c r="BC157" s="5">
        <f>SUMIFS( E4:E451, N4:N451,"2015", D4:D451,"Hermenéutica: crítica y diferencia. Problemas interculturales")</f>
        <v>0</v>
      </c>
      <c r="BD157" s="5">
        <f>SUMIFS( E4:E451, N4:N451,"2016", D4:D451,"Hermenéutica: crítica y diferencia. Problemas interculturales")</f>
        <v>7</v>
      </c>
      <c r="BE157" s="5">
        <f>SUMIFS( E4:E451, N4:N451,"2017", D4:D451,"Hermenéutica: crítica y diferencia. Problemas interculturales")</f>
        <v>0</v>
      </c>
      <c r="BF157" s="5">
        <f>SUMIFS( E4:E451, N4:N451,"2018", D4:D451,"Hermenéutica: crítica y diferencia. Problemas interculturales")</f>
        <v>0</v>
      </c>
      <c r="BG157" s="23">
        <f>AVERAGEIFS( E4:E451, D4:D451,"Hermenéutica: crítica y diferencia. Problemas interculturales")</f>
        <v>7</v>
      </c>
      <c r="BH157" s="23">
        <v>0</v>
      </c>
      <c r="BI157" s="23">
        <v>0</v>
      </c>
      <c r="BJ157" s="23">
        <v>0</v>
      </c>
      <c r="BK157" s="23">
        <f>AVERAGEIFS( E4:E451, A4:A451,"2016", D4:D451,"Hermenéutica: crítica y diferencia. Problemas interculturales")</f>
        <v>7</v>
      </c>
      <c r="BL157" s="23">
        <v>0</v>
      </c>
      <c r="BM157" s="23">
        <v>7</v>
      </c>
      <c r="BN157" s="23">
        <v>0</v>
      </c>
      <c r="BO157" s="23">
        <v>0</v>
      </c>
      <c r="BP157" s="23">
        <v>0</v>
      </c>
      <c r="BQ157" s="23">
        <v>7</v>
      </c>
      <c r="BR157" s="23">
        <v>0</v>
      </c>
    </row>
    <row r="158" spans="1:70" ht="15" customHeight="1" x14ac:dyDescent="0.25">
      <c r="A158">
        <v>2017</v>
      </c>
      <c r="B158" s="14" t="s">
        <v>78</v>
      </c>
      <c r="C158" s="14" t="s">
        <v>79</v>
      </c>
      <c r="D158" s="14" t="s">
        <v>58</v>
      </c>
      <c r="E158">
        <v>5</v>
      </c>
      <c r="F158" t="s">
        <v>215</v>
      </c>
      <c r="G158" t="s">
        <v>233</v>
      </c>
      <c r="H158" s="16" t="s">
        <v>233</v>
      </c>
      <c r="I158" t="s">
        <v>234</v>
      </c>
      <c r="J158" s="14" t="s">
        <v>234</v>
      </c>
      <c r="K158" t="s">
        <v>233</v>
      </c>
      <c r="L158" t="s">
        <v>234</v>
      </c>
      <c r="M158" s="14">
        <v>43244</v>
      </c>
      <c r="N158" s="14" t="str">
        <f t="shared" si="2"/>
        <v>2018</v>
      </c>
      <c r="O158" s="6" t="s">
        <v>76</v>
      </c>
      <c r="P158" s="12"/>
      <c r="Q158" s="12"/>
      <c r="R158" s="12"/>
      <c r="S158" s="12"/>
      <c r="T158" s="13"/>
      <c r="U158" s="4">
        <f>COUNTIFS(   C4:C451,"Historia y Artes")</f>
        <v>56</v>
      </c>
      <c r="V158" s="4">
        <f>COUNTIFS(   C4:C451,"Historia y Artes",F4:F451,"Hombre")</f>
        <v>38</v>
      </c>
      <c r="W158" s="4">
        <f>COUNTIFS(   C4:C451,"Historia y Artes",F4:F451,"Mujer")</f>
        <v>18</v>
      </c>
      <c r="X158" s="28">
        <f>COUNTIFS(   A4:A451,"2013", C4:C451,"Historia y Artes")</f>
        <v>0</v>
      </c>
      <c r="Y158" s="4">
        <f>COUNTIFS(   A4:A451,"2014", C4:C451,"Historia y Artes")</f>
        <v>0</v>
      </c>
      <c r="Z158" s="4">
        <f>COUNTIFS(   A4:A451,"2015", C4:C451,"Historia y Artes")</f>
        <v>3</v>
      </c>
      <c r="AA158" s="4">
        <f>COUNTIFS(   A4:A451,"2016", C4:C451,"Historia y Artes")</f>
        <v>22</v>
      </c>
      <c r="AB158" s="4">
        <f>COUNTIFS(   A4:A451,"2017", C4:C451,"Historia y Artes")</f>
        <v>31</v>
      </c>
      <c r="AC158" s="28">
        <f>COUNTIFS(   N4:N451,"2014", C4:C451,"Historia y Artes")</f>
        <v>0</v>
      </c>
      <c r="AD158" s="4">
        <f>COUNTIFS(   N4:N451,"2015", C4:C451,"Historia y Artes")</f>
        <v>0</v>
      </c>
      <c r="AE158" s="4">
        <f>COUNTIFS(   N4:N451,"2016", C4:C451,"Historia y Artes")</f>
        <v>7</v>
      </c>
      <c r="AF158" s="4">
        <f>COUNTIFS(   N4:N451,"2017", C4:C451,"Historia y Artes")</f>
        <v>30</v>
      </c>
      <c r="AG158" s="4">
        <f>COUNTIFS(   N4:N451,"2018", C4:C451,"Historia y Artes")</f>
        <v>19</v>
      </c>
      <c r="AH158" s="4">
        <f>COUNTIFS(   C4:C451,"Historia y Artes",G4:G451,"Sí")</f>
        <v>1</v>
      </c>
      <c r="AI158" s="4">
        <f>COUNTIFS(   C4:C451,"Historia y Artes",G4:G451,"No")</f>
        <v>55</v>
      </c>
      <c r="AJ158" s="4">
        <f>SUMIFS( E4:E451, C4:C451,"Historia y Artes",G4:G451,"Sí")</f>
        <v>2</v>
      </c>
      <c r="AK158" s="4">
        <f>SUMIFS( E4:E451, C4:C451,"Historia y Artes",G4:G451,"No")</f>
        <v>175</v>
      </c>
      <c r="AL158" s="4">
        <f>COUNTIFS(   C4:C451,"Historia y Artes",H4:H451,"Sí")</f>
        <v>4</v>
      </c>
      <c r="AM158" s="4">
        <f>COUNTIFS(   C4:C451,"Historia y Artes",I4:I451,"Sí")</f>
        <v>9</v>
      </c>
      <c r="AN158" s="4">
        <f>COUNTIFS(   C4:C451,"Historia y Artes",I4:I451,"No")</f>
        <v>47</v>
      </c>
      <c r="AO158" s="4">
        <f>SUMIFS( E4:E451, C4:C451,"Historia y Artes",I4:I451,"Sí")</f>
        <v>35</v>
      </c>
      <c r="AP158" s="4">
        <f>SUMIFS( E4:E451, C4:C451,"Historia y Artes",I4:I451,"No")</f>
        <v>142</v>
      </c>
      <c r="AQ158" s="4">
        <f>COUNTIFS(   C4:C451,"Historia y Artes",J4:J451,"Sí")</f>
        <v>36</v>
      </c>
      <c r="AR158" s="4">
        <f>COUNTIFS(   C4:C451,"Historia y Artes",K4:K451,"Sí")</f>
        <v>22</v>
      </c>
      <c r="AS158" s="4">
        <f>COUNTIFS(   C4:C451,"Historia y Artes",L4:L451,"Sí")</f>
        <v>47</v>
      </c>
      <c r="AT158" s="4">
        <f>SUMIFS( E4:E451, C4:C451,"Historia y Artes")</f>
        <v>177</v>
      </c>
      <c r="AU158" s="4">
        <f>SUMIFS( E4:E451, F4:F451,"Hombre", C4:C451,"Historia y Artes")</f>
        <v>151</v>
      </c>
      <c r="AV158" s="4">
        <f>SUMIFS( E4:E451, F4:F451,"Mujer", C4:C451,"Historia y Artes")</f>
        <v>26</v>
      </c>
      <c r="AW158" s="28">
        <f>SUMIFS( E4:E451, A4:A451,"2013", C4:C451,"Historia y Artes")</f>
        <v>0</v>
      </c>
      <c r="AX158" s="4">
        <f>SUMIFS( E4:E451, A4:A451,"2014", C4:C451,"Historia y Artes")</f>
        <v>0</v>
      </c>
      <c r="AY158" s="4">
        <f>SUMIFS( E4:E451, A4:A451,"2015", C4:C451,"Historia y Artes")</f>
        <v>35</v>
      </c>
      <c r="AZ158" s="4">
        <f>SUMIFS( E4:E451, A4:A451,"2016", C4:C451,"Historia y Artes")</f>
        <v>73</v>
      </c>
      <c r="BA158" s="4">
        <f>SUMIFS( E4:E451, A4:A451,"2017", C4:C451,"Historia y Artes")</f>
        <v>69</v>
      </c>
      <c r="BB158" s="28">
        <f>SUMIFS( E4:E451, N4:N451,"2014", C4:C451,"Historia y Artes")</f>
        <v>0</v>
      </c>
      <c r="BC158" s="4">
        <f>SUMIFS( E4:E451, N4:N451,"2015", C4:C451,"Historia y Artes")</f>
        <v>0</v>
      </c>
      <c r="BD158" s="4">
        <f>SUMIFS( E4:E451, N4:N451,"2016", C4:C451,"Historia y Artes")</f>
        <v>38</v>
      </c>
      <c r="BE158" s="4">
        <f>SUMIFS( E4:E451, N4:N451,"2017", C4:C451,"Historia y Artes")</f>
        <v>90</v>
      </c>
      <c r="BF158" s="4">
        <f>SUMIFS( E4:E451, N4:N451,"2018", C4:C451,"Historia y Artes")</f>
        <v>49</v>
      </c>
      <c r="BG158" s="22">
        <f>AVERAGEIFS( E4:E451, C4:C451,"Historia y Artes")</f>
        <v>3.1607142857142856</v>
      </c>
      <c r="BH158" s="22">
        <v>0</v>
      </c>
      <c r="BI158" s="22">
        <v>0</v>
      </c>
      <c r="BJ158" s="22">
        <f>AVERAGEIFS( E4:E451, A4:A451,"2015", C4:C451,"Historia y Artes")</f>
        <v>11.666666666666666</v>
      </c>
      <c r="BK158" s="22">
        <f>AVERAGEIFS( E4:E451, A4:A451,"2016", C4:C451,"Historia y Artes")</f>
        <v>3.3181818181818183</v>
      </c>
      <c r="BL158" s="22">
        <f>AVERAGEIFS( E4:E451, A4:A451,"2017", C4:C451,"Historia y Artes")</f>
        <v>2.225806451612903</v>
      </c>
      <c r="BM158" s="22">
        <f>AVERAGE(AT159:AT170)</f>
        <v>14.75</v>
      </c>
      <c r="BN158" s="22">
        <v>0</v>
      </c>
      <c r="BO158" s="22">
        <v>0</v>
      </c>
      <c r="BP158" s="22">
        <f>AVERAGE(AY159:AY170)</f>
        <v>2.9166666666666665</v>
      </c>
      <c r="BQ158" s="22">
        <f t="shared" ref="BQ158:BR158" si="3">AVERAGE(AZ159:AZ170)</f>
        <v>6.083333333333333</v>
      </c>
      <c r="BR158" s="22">
        <f t="shared" si="3"/>
        <v>5.75</v>
      </c>
    </row>
    <row r="159" spans="1:70" ht="15" customHeight="1" x14ac:dyDescent="0.25">
      <c r="A159">
        <v>2017</v>
      </c>
      <c r="B159" s="14" t="s">
        <v>78</v>
      </c>
      <c r="C159" s="14" t="s">
        <v>79</v>
      </c>
      <c r="D159" s="14" t="s">
        <v>54</v>
      </c>
      <c r="E159">
        <v>2</v>
      </c>
      <c r="F159" t="s">
        <v>215</v>
      </c>
      <c r="G159" t="s">
        <v>233</v>
      </c>
      <c r="H159" t="s">
        <v>233</v>
      </c>
      <c r="I159" s="14" t="s">
        <v>234</v>
      </c>
      <c r="J159" s="14" t="s">
        <v>234</v>
      </c>
      <c r="K159" t="s">
        <v>234</v>
      </c>
      <c r="L159" s="14" t="s">
        <v>234</v>
      </c>
      <c r="M159" s="14">
        <v>43182</v>
      </c>
      <c r="N159" s="14" t="str">
        <f t="shared" si="2"/>
        <v>2018</v>
      </c>
      <c r="O159" s="64" t="s">
        <v>182</v>
      </c>
      <c r="P159" s="56"/>
      <c r="Q159" s="56"/>
      <c r="R159" s="56"/>
      <c r="S159" s="56"/>
      <c r="T159" s="57"/>
      <c r="U159" s="5">
        <f>COUNTIFS(   D4:D451,"Al-Andalus y las sociedades feudales")</f>
        <v>3</v>
      </c>
      <c r="V159" s="5">
        <f>COUNTIFS(   D4:D451,"Al-Andalus y las sociedades feudales",F4:F451,"Hombre")</f>
        <v>2</v>
      </c>
      <c r="W159" s="5">
        <f>COUNTIFS(   D4:D451,"Al-Andalus y las sociedades feudales",F4:F451,"Mujer")</f>
        <v>1</v>
      </c>
      <c r="X159" s="29">
        <f>COUNTIFS(   A4:A451,"2013", D4:D451,"Al-Andalus y las sociedades feudales")</f>
        <v>0</v>
      </c>
      <c r="Y159" s="5">
        <f>COUNTIFS(   A4:A451,"2014", D4:D451,"Al-Andalus y las sociedades feudales")</f>
        <v>0</v>
      </c>
      <c r="Z159" s="5">
        <f>COUNTIFS(   A4:A451,"2015", D4:D451,"Al-Andalus y las sociedades feudales")</f>
        <v>0</v>
      </c>
      <c r="AA159" s="5">
        <f>COUNTIFS(   A4:A451,"2016", D4:D451,"Al-Andalus y las sociedades feudales")</f>
        <v>1</v>
      </c>
      <c r="AB159" s="5">
        <f>COUNTIFS(   A4:A451,"2017", D4:D451,"Al-Andalus y las sociedades feudales")</f>
        <v>2</v>
      </c>
      <c r="AC159" s="29">
        <f>COUNTIFS(   N4:N451,"2014", D4:D451,"Al-Andalus y las sociedades feudales")</f>
        <v>0</v>
      </c>
      <c r="AD159" s="5">
        <f>COUNTIFS(   N4:N451,"2015", D4:D451,"Al-Andalus y las sociedades feudales")</f>
        <v>0</v>
      </c>
      <c r="AE159" s="5">
        <f>COUNTIFS(   N4:N451,"2016", D4:D451,"Al-Andalus y las sociedades feudales")</f>
        <v>0</v>
      </c>
      <c r="AF159" s="5">
        <f>COUNTIFS(   N4:N451,"2017", D4:D451,"Al-Andalus y las sociedades feudales")</f>
        <v>2</v>
      </c>
      <c r="AG159" s="5">
        <f>COUNTIFS(   N4:N451,"2018", D4:D451,"Al-Andalus y las sociedades feudales")</f>
        <v>1</v>
      </c>
      <c r="AH159" s="5">
        <f>COUNTIFS(   D4:D451,"Al-Andalus y las sociedades feudales",G4:G451,"Sí")</f>
        <v>0</v>
      </c>
      <c r="AI159" s="5">
        <f>COUNTIFS(   D4:D451,"Al-Andalus y las sociedades feudales",G4:G451,"No")</f>
        <v>3</v>
      </c>
      <c r="AJ159" s="5">
        <f>SUMIFS( E4:E451, D4:D451,"Al-Andalus y las sociedades feudales",G4:G451,"Sí")</f>
        <v>0</v>
      </c>
      <c r="AK159" s="5">
        <f>SUMIFS( E4:E451, D4:D451,"Al-Andalus y las sociedades feudales",G4:G451,"No")</f>
        <v>4</v>
      </c>
      <c r="AL159" s="5">
        <f>COUNTIFS(   D4:D451,"Al-Andalus y las sociedades feudales",H4:H451,"Sí")</f>
        <v>0</v>
      </c>
      <c r="AM159" s="5">
        <f>COUNTIFS(   D4:D451,"Al-Andalus y las sociedades feudales",I4:I451,"Sí")</f>
        <v>0</v>
      </c>
      <c r="AN159" s="5">
        <f>COUNTIFS(   D4:D451,"Al-Andalus y las sociedades feudales",I4:I451,"No")</f>
        <v>3</v>
      </c>
      <c r="AO159" s="5">
        <f>SUMIFS( E4:E451, D4:D451,"Al-Andalus y las sociedades feudales",I4:I451,"Sí")</f>
        <v>0</v>
      </c>
      <c r="AP159" s="5">
        <f>SUMIFS( E4:E451, D4:D451,"Al-Andalus y las sociedades feudales",I4:I451,"No")</f>
        <v>4</v>
      </c>
      <c r="AQ159" s="5">
        <f>COUNTIFS(   D4:D451,"Al-Andalus y las sociedades feudales",J4:J451,"Sí")</f>
        <v>1</v>
      </c>
      <c r="AR159" s="5">
        <f>COUNTIFS(   D4:D451,"Al-Andalus y las sociedades feudales",K4:K451,"Sí")</f>
        <v>1</v>
      </c>
      <c r="AS159" s="5">
        <f>COUNTIFS(   D4:D451,"Al-Andalus y las sociedades feudales",L4:L451,"Sí")</f>
        <v>1</v>
      </c>
      <c r="AT159" s="5">
        <f>SUMIFS( E4:E451, D4:D451,"Al-Andalus y las sociedades feudales")</f>
        <v>4</v>
      </c>
      <c r="AU159" s="5">
        <f>SUMIFS( E4:E451, F4:F451,"Hombre", D4:D451,"Al-Andalus y las sociedades feudales")</f>
        <v>1</v>
      </c>
      <c r="AV159" s="5">
        <f>SUMIFS( E4:E451, F4:F451,"Mujer", D4:D451,"Al-Andalus y las sociedades feudales")</f>
        <v>3</v>
      </c>
      <c r="AW159" s="29">
        <f>SUMIFS( E4:E451, A4:A451,"2013", D4:D451,"Al-Andalus y las sociedades feudales")</f>
        <v>0</v>
      </c>
      <c r="AX159" s="5">
        <f>SUMIFS( E4:E451, A4:A451,"2014", D4:D451,"Al-Andalus y las sociedades feudales")</f>
        <v>0</v>
      </c>
      <c r="AY159" s="5">
        <f>SUMIFS( E4:E451, A4:A451,"2015", D4:D451,"Al-Andalus y las sociedades feudales")</f>
        <v>0</v>
      </c>
      <c r="AZ159" s="5">
        <f>SUMIFS( E4:E451, A4:A451,"2016", D4:D451,"Al-Andalus y las sociedades feudales")</f>
        <v>1</v>
      </c>
      <c r="BA159" s="5">
        <f>SUMIFS( E4:E451, A4:A451,"2017", D4:D451,"Al-Andalus y las sociedades feudales")</f>
        <v>3</v>
      </c>
      <c r="BB159" s="29">
        <f>SUMIFS( E4:E451, N4:N451,"2014", D4:D451,"Al-Andalus y las sociedades feudales")</f>
        <v>0</v>
      </c>
      <c r="BC159" s="5">
        <f>SUMIFS( E4:E451, N4:N451,"2015", D4:D451,"Al-Andalus y las sociedades feudales")</f>
        <v>0</v>
      </c>
      <c r="BD159" s="5">
        <f>SUMIFS( E4:E451, N4:N451,"2016", D4:D451,"Al-Andalus y las sociedades feudales")</f>
        <v>0</v>
      </c>
      <c r="BE159" s="5">
        <f>SUMIFS( E4:E451, N4:N451,"2017", D4:D451,"Al-Andalus y las sociedades feudales")</f>
        <v>1</v>
      </c>
      <c r="BF159" s="5">
        <f>SUMIFS( E4:E451, N4:N451,"2018", D4:D451,"Al-Andalus y las sociedades feudales")</f>
        <v>3</v>
      </c>
      <c r="BG159" s="23">
        <f>AVERAGEIFS( E4:E451, D4:D451,"Al-Andalus y las sociedades feudales")</f>
        <v>1.3333333333333333</v>
      </c>
      <c r="BH159" s="23">
        <v>0</v>
      </c>
      <c r="BI159" s="23">
        <v>0</v>
      </c>
      <c r="BJ159" s="23">
        <v>0</v>
      </c>
      <c r="BK159" s="23">
        <f>AVERAGEIFS( E4:E451, A4:A451,"2016", D4:D451,"Al-Andalus y las sociedades feudales")</f>
        <v>1</v>
      </c>
      <c r="BL159" s="23">
        <f>AVERAGEIFS( E4:E451, A4:A451,"2017", D4:D451,"Al-Andalus y las sociedades feudales")</f>
        <v>1.5</v>
      </c>
      <c r="BM159" s="23">
        <v>0.33333333333333331</v>
      </c>
      <c r="BN159" s="23">
        <v>0</v>
      </c>
      <c r="BO159" s="23">
        <v>0</v>
      </c>
      <c r="BP159" s="23">
        <v>0</v>
      </c>
      <c r="BQ159" s="23">
        <v>1</v>
      </c>
      <c r="BR159" s="23">
        <v>0</v>
      </c>
    </row>
    <row r="160" spans="1:70" ht="15" customHeight="1" x14ac:dyDescent="0.25">
      <c r="A160">
        <v>2017</v>
      </c>
      <c r="B160" s="14" t="s">
        <v>78</v>
      </c>
      <c r="C160" s="14" t="s">
        <v>79</v>
      </c>
      <c r="D160" s="14" t="s">
        <v>51</v>
      </c>
      <c r="E160">
        <v>2</v>
      </c>
      <c r="F160" t="s">
        <v>211</v>
      </c>
      <c r="G160" t="s">
        <v>233</v>
      </c>
      <c r="H160" t="s">
        <v>233</v>
      </c>
      <c r="I160" s="14" t="s">
        <v>233</v>
      </c>
      <c r="J160" s="14" t="s">
        <v>234</v>
      </c>
      <c r="K160" t="s">
        <v>234</v>
      </c>
      <c r="L160" s="14" t="s">
        <v>234</v>
      </c>
      <c r="M160" s="14">
        <v>43171</v>
      </c>
      <c r="N160" s="14" t="str">
        <f t="shared" si="2"/>
        <v>2018</v>
      </c>
      <c r="O160" s="64" t="s">
        <v>184</v>
      </c>
      <c r="P160" s="56"/>
      <c r="Q160" s="56"/>
      <c r="R160" s="56"/>
      <c r="S160" s="56"/>
      <c r="T160" s="57"/>
      <c r="U160" s="5">
        <f>COUNTIFS(   D4:D451,"Arqueología y cultura material")</f>
        <v>6</v>
      </c>
      <c r="V160" s="5">
        <f>COUNTIFS(   D4:D451,"Arqueología y cultura material",F4:F451,"Hombre")</f>
        <v>6</v>
      </c>
      <c r="W160" s="5">
        <f>COUNTIFS(   D4:D451,"Arqueología y cultura material",F4:F451,"Mujer")</f>
        <v>0</v>
      </c>
      <c r="X160" s="29">
        <f>COUNTIFS(   A4:A451,"2013", D4:D451,"Arqueología y cultura material")</f>
        <v>0</v>
      </c>
      <c r="Y160" s="5">
        <f>COUNTIFS(   A4:A451,"2014", D4:D451,"Arqueología y cultura material")</f>
        <v>0</v>
      </c>
      <c r="Z160" s="5">
        <f>COUNTIFS(   A4:A451,"2015", D4:D451,"Arqueología y cultura material")</f>
        <v>0</v>
      </c>
      <c r="AA160" s="5">
        <f>COUNTIFS(   A4:A451,"2016", D4:D451,"Arqueología y cultura material")</f>
        <v>2</v>
      </c>
      <c r="AB160" s="5">
        <f>COUNTIFS(   A4:A451,"2017", D4:D451,"Arqueología y cultura material")</f>
        <v>4</v>
      </c>
      <c r="AC160" s="29">
        <f>COUNTIFS(   N4:N451,"2014", D4:D451,"Arqueología y cultura material")</f>
        <v>0</v>
      </c>
      <c r="AD160" s="5">
        <f>COUNTIFS(   N4:N451,"2015", D4:D451,"Arqueología y cultura material")</f>
        <v>0</v>
      </c>
      <c r="AE160" s="5">
        <f>COUNTIFS(   N4:N451,"2016", D4:D451,"Arqueología y cultura material")</f>
        <v>0</v>
      </c>
      <c r="AF160" s="5">
        <f>COUNTIFS(   N4:N451,"2017", D4:D451,"Arqueología y cultura material")</f>
        <v>5</v>
      </c>
      <c r="AG160" s="5">
        <f>COUNTIFS(   N4:N451,"2018", D4:D451,"Arqueología y cultura material")</f>
        <v>1</v>
      </c>
      <c r="AH160" s="5">
        <f>COUNTIFS(   D4:D451,"Arqueología y cultura material",G4:G451,"Sí")</f>
        <v>0</v>
      </c>
      <c r="AI160" s="5">
        <f>COUNTIFS(   D4:D451,"Arqueología y cultura material",G4:G451,"No")</f>
        <v>6</v>
      </c>
      <c r="AJ160" s="5">
        <f>SUMIFS( E4:E451, D4:D451,"Arqueología y cultura material",G4:G451,"Sí")</f>
        <v>0</v>
      </c>
      <c r="AK160" s="5">
        <f>SUMIFS( E4:E451, D4:D451,"Arqueología y cultura material",G4:G451,"No")</f>
        <v>49</v>
      </c>
      <c r="AL160" s="5">
        <f>COUNTIFS(   D4:D451,"Arqueología y cultura material",H4:H451,"Sí")</f>
        <v>1</v>
      </c>
      <c r="AM160" s="5">
        <f>COUNTIFS(   D4:D451,"Arqueología y cultura material",I4:I451,"Sí")</f>
        <v>1</v>
      </c>
      <c r="AN160" s="5">
        <f>COUNTIFS(   D4:D451,"Arqueología y cultura material",I4:I451,"No")</f>
        <v>5</v>
      </c>
      <c r="AO160" s="5">
        <f>SUMIFS( E4:E451, D4:D451,"Arqueología y cultura material",I4:I451,"Sí")</f>
        <v>5</v>
      </c>
      <c r="AP160" s="5">
        <f>SUMIFS( E4:E451, D4:D451,"Arqueología y cultura material",I4:I451,"No")</f>
        <v>44</v>
      </c>
      <c r="AQ160" s="5">
        <f>COUNTIFS(   D4:D451,"Arqueología y cultura material",J4:J451,"Sí")</f>
        <v>4</v>
      </c>
      <c r="AR160" s="5">
        <f>COUNTIFS(   D4:D451,"Arqueología y cultura material",K4:K451,"Sí")</f>
        <v>3</v>
      </c>
      <c r="AS160" s="5">
        <f>COUNTIFS(   D4:D451,"Arqueología y cultura material",L4:L451,"Sí")</f>
        <v>6</v>
      </c>
      <c r="AT160" s="5">
        <f>SUMIFS( E4:E451, D4:D451,"Arqueología y cultura material")</f>
        <v>49</v>
      </c>
      <c r="AU160" s="5">
        <f>SUMIFS( E4:E451, F4:F451,"Hombre", D4:D451,"Arqueología y cultura material")</f>
        <v>49</v>
      </c>
      <c r="AV160" s="5">
        <f>SUMIFS( E4:E451, F4:F451,"Mujer", D4:D451,"Arqueología y cultura material")</f>
        <v>0</v>
      </c>
      <c r="AW160" s="29">
        <f>SUMIFS( E4:E451, A4:A451,"2013", D4:D451,"Arqueología y cultura material")</f>
        <v>0</v>
      </c>
      <c r="AX160" s="5">
        <f>SUMIFS( E4:E451, A4:A451,"2014", D4:D451,"Arqueología y cultura material")</f>
        <v>0</v>
      </c>
      <c r="AY160" s="5">
        <f>SUMIFS( E4:E451, A4:A451,"2015", D4:D451,"Arqueología y cultura material")</f>
        <v>0</v>
      </c>
      <c r="AZ160" s="5">
        <f>SUMIFS( E4:E451, A4:A451,"2016", D4:D451,"Arqueología y cultura material")</f>
        <v>40</v>
      </c>
      <c r="BA160" s="5">
        <f>SUMIFS( E4:E451, A4:A451,"2017", D4:D451,"Arqueología y cultura material")</f>
        <v>9</v>
      </c>
      <c r="BB160" s="29">
        <f>SUMIFS( E4:E451, N4:N451,"2014", D4:D451,"Arqueología y cultura material")</f>
        <v>0</v>
      </c>
      <c r="BC160" s="5">
        <f>SUMIFS( E4:E451, N4:N451,"2015", D4:D451,"Arqueología y cultura material")</f>
        <v>0</v>
      </c>
      <c r="BD160" s="5">
        <f>SUMIFS( E4:E451, N4:N451,"2016", D4:D451,"Arqueología y cultura material")</f>
        <v>0</v>
      </c>
      <c r="BE160" s="5">
        <f>SUMIFS( E4:E451, N4:N451,"2017", D4:D451,"Arqueología y cultura material")</f>
        <v>44</v>
      </c>
      <c r="BF160" s="5">
        <f>SUMIFS( E4:E451, N4:N451,"2018", D4:D451,"Arqueología y cultura material")</f>
        <v>5</v>
      </c>
      <c r="BG160" s="23">
        <f>AVERAGEIFS( E4:E451, D4:D451,"Arqueología y cultura material")</f>
        <v>8.1666666666666661</v>
      </c>
      <c r="BH160" s="23">
        <v>0</v>
      </c>
      <c r="BI160" s="23">
        <v>0</v>
      </c>
      <c r="BJ160" s="23">
        <v>0</v>
      </c>
      <c r="BK160" s="23">
        <f>AVERAGEIFS( E4:E451, A4:A451,"2016", D4:D451,"Arqueología y cultura material")</f>
        <v>20</v>
      </c>
      <c r="BL160" s="23">
        <f>AVERAGEIFS( E4:E451, A4:A451,"2017", D4:D451,"Arqueología y cultura material")</f>
        <v>2.25</v>
      </c>
      <c r="BM160" s="23">
        <v>8.1666666666666661</v>
      </c>
      <c r="BN160" s="23">
        <v>0</v>
      </c>
      <c r="BO160" s="23">
        <v>0</v>
      </c>
      <c r="BP160" s="23">
        <v>0</v>
      </c>
      <c r="BQ160" s="23">
        <v>20</v>
      </c>
      <c r="BR160" s="23">
        <v>2.25</v>
      </c>
    </row>
    <row r="161" spans="1:70" ht="15" customHeight="1" x14ac:dyDescent="0.25">
      <c r="A161">
        <v>2017</v>
      </c>
      <c r="B161" s="14" t="s">
        <v>78</v>
      </c>
      <c r="C161" s="14" t="s">
        <v>79</v>
      </c>
      <c r="D161" s="14" t="s">
        <v>52</v>
      </c>
      <c r="E161">
        <v>10</v>
      </c>
      <c r="F161" t="s">
        <v>211</v>
      </c>
      <c r="G161" t="s">
        <v>233</v>
      </c>
      <c r="H161" t="s">
        <v>234</v>
      </c>
      <c r="I161" s="14" t="s">
        <v>233</v>
      </c>
      <c r="J161" s="14" t="s">
        <v>234</v>
      </c>
      <c r="K161" t="s">
        <v>234</v>
      </c>
      <c r="L161" s="14" t="s">
        <v>234</v>
      </c>
      <c r="M161" s="14">
        <v>43126</v>
      </c>
      <c r="N161" s="14" t="str">
        <f t="shared" si="2"/>
        <v>2018</v>
      </c>
      <c r="O161" s="64" t="s">
        <v>189</v>
      </c>
      <c r="P161" s="56"/>
      <c r="Q161" s="56"/>
      <c r="R161" s="56"/>
      <c r="S161" s="56"/>
      <c r="T161" s="57"/>
      <c r="U161" s="5">
        <f>COUNTIFS(   D4:D451,"Cambios sociopolíticos en el mundo moderno y contemporáneo")</f>
        <v>5</v>
      </c>
      <c r="V161" s="5">
        <f>COUNTIFS(   D4:D451,"Cambios sociopolíticos en el mundo moderno y contemporáneo",F4:F451,"Hombre")</f>
        <v>5</v>
      </c>
      <c r="W161" s="5">
        <f>COUNTIFS(   D4:D451,"Cambios sociopolíticos en el mundo moderno y contemporáneo",F4:F451,"Mujer")</f>
        <v>0</v>
      </c>
      <c r="X161" s="29">
        <f>COUNTIFS(   A4:A451,"2013", D4:D451,"Cambios sociopolíticos en el mundo moderno y contemporáneo")</f>
        <v>0</v>
      </c>
      <c r="Y161" s="5">
        <f>COUNTIFS(   A4:A451,"2014", D4:D451,"Cambios sociopolíticos en el mundo moderno y contemporáneo")</f>
        <v>0</v>
      </c>
      <c r="Z161" s="5">
        <f>COUNTIFS(   A4:A451,"2015", D4:D451,"Cambios sociopolíticos en el mundo moderno y contemporáneo")</f>
        <v>2</v>
      </c>
      <c r="AA161" s="5">
        <f>COUNTIFS(   A4:A451,"2016", D4:D451,"Cambios sociopolíticos en el mundo moderno y contemporáneo")</f>
        <v>2</v>
      </c>
      <c r="AB161" s="5">
        <f>COUNTIFS(   A4:A451,"2017", D4:D451,"Cambios sociopolíticos en el mundo moderno y contemporáneo")</f>
        <v>1</v>
      </c>
      <c r="AC161" s="29">
        <f>COUNTIFS(   N4:N451,"2014", D4:D451,"Cambios sociopolíticos en el mundo moderno y contemporáneo")</f>
        <v>0</v>
      </c>
      <c r="AD161" s="5">
        <f>COUNTIFS(   N4:N451,"2015", D4:D451,"Cambios sociopolíticos en el mundo moderno y contemporáneo")</f>
        <v>0</v>
      </c>
      <c r="AE161" s="5">
        <f>COUNTIFS(   N4:N451,"2016", D4:D451,"Cambios sociopolíticos en el mundo moderno y contemporáneo")</f>
        <v>3</v>
      </c>
      <c r="AF161" s="5">
        <f>COUNTIFS(   N4:N451,"2017", D4:D451,"Cambios sociopolíticos en el mundo moderno y contemporáneo")</f>
        <v>2</v>
      </c>
      <c r="AG161" s="5">
        <f>COUNTIFS(   N4:N451,"2018", D4:D451,"Cambios sociopolíticos en el mundo moderno y contemporáneo")</f>
        <v>0</v>
      </c>
      <c r="AH161" s="5">
        <f>COUNTIFS(   D4:D451,"Cambios sociopolíticos en el mundo moderno y contemporáneo",G4:G451,"Sí")</f>
        <v>0</v>
      </c>
      <c r="AI161" s="5">
        <f>COUNTIFS(   D4:D451,"Cambios sociopolíticos en el mundo moderno y contemporáneo",G4:G451,"No")</f>
        <v>5</v>
      </c>
      <c r="AJ161" s="5">
        <f>SUMIFS( E4:E451, D4:D451,"Cambios sociopolíticos en el mundo moderno y contemporáneo",G4:G451,"Sí")</f>
        <v>0</v>
      </c>
      <c r="AK161" s="5">
        <f>SUMIFS( E4:E451, D4:D451,"Cambios sociopolíticos en el mundo moderno y contemporáneo",G4:G451,"No")</f>
        <v>41</v>
      </c>
      <c r="AL161" s="5">
        <f>COUNTIFS(   D4:D451,"Cambios sociopolíticos en el mundo moderno y contemporáneo",H4:H451,"Sí")</f>
        <v>0</v>
      </c>
      <c r="AM161" s="5">
        <f>COUNTIFS(   D4:D451,"Cambios sociopolíticos en el mundo moderno y contemporáneo",I4:I451,"Sí")</f>
        <v>0</v>
      </c>
      <c r="AN161" s="5">
        <f>COUNTIFS(   D4:D451,"Cambios sociopolíticos en el mundo moderno y contemporáneo",I4:I451,"No")</f>
        <v>5</v>
      </c>
      <c r="AO161" s="5">
        <f>SUMIFS( E4:E451, D4:D451,"Cambios sociopolíticos en el mundo moderno y contemporáneo",I4:I451,"Sí")</f>
        <v>0</v>
      </c>
      <c r="AP161" s="5">
        <f>SUMIFS( E4:E451, D4:D451,"Cambios sociopolíticos en el mundo moderno y contemporáneo",I4:I451,"No")</f>
        <v>41</v>
      </c>
      <c r="AQ161" s="5">
        <f>COUNTIFS(   D4:D451,"Cambios sociopolíticos en el mundo moderno y contemporáneo",J4:J451,"Sí")</f>
        <v>5</v>
      </c>
      <c r="AR161" s="5">
        <f>COUNTIFS(   D4:D451,"Cambios sociopolíticos en el mundo moderno y contemporáneo",K4:K451,"Sí")</f>
        <v>1</v>
      </c>
      <c r="AS161" s="5">
        <f>COUNTIFS(   D4:D451,"Cambios sociopolíticos en el mundo moderno y contemporáneo",L4:L451,"Sí")</f>
        <v>5</v>
      </c>
      <c r="AT161" s="5">
        <f>SUMIFS( E4:E451, D4:D451,"Cambios sociopolíticos en el mundo moderno y contemporáneo")</f>
        <v>41</v>
      </c>
      <c r="AU161" s="5">
        <f>SUMIFS( E4:E451, F4:F451,"Hombre", D4:D451,"Cambios sociopolíticos en el mundo moderno y contemporáneo")</f>
        <v>41</v>
      </c>
      <c r="AV161" s="5">
        <f>SUMIFS( E4:E451, F4:F451,"Mujer", D4:D451,"Cambios sociopolíticos en el mundo moderno y contemporáneo")</f>
        <v>0</v>
      </c>
      <c r="AW161" s="29">
        <f>SUMIFS( E4:E451, A4:A451,"2013", D4:D451,"Cambios sociopolíticos en el mundo moderno y contemporáneo")</f>
        <v>0</v>
      </c>
      <c r="AX161" s="5">
        <f>SUMIFS( E4:E451, A4:A451,"2014", D4:D451,"Cambios sociopolíticos en el mundo moderno y contemporáneo")</f>
        <v>0</v>
      </c>
      <c r="AY161" s="5">
        <f>SUMIFS( E4:E451, A4:A451,"2015", D4:D451,"Cambios sociopolíticos en el mundo moderno y contemporáneo")</f>
        <v>32</v>
      </c>
      <c r="AZ161" s="5">
        <f>SUMIFS( E4:E451, A4:A451,"2016", D4:D451,"Cambios sociopolíticos en el mundo moderno y contemporáneo")</f>
        <v>3</v>
      </c>
      <c r="BA161" s="5">
        <f>SUMIFS( E4:E451, A4:A451,"2017", D4:D451,"Cambios sociopolíticos en el mundo moderno y contemporáneo")</f>
        <v>6</v>
      </c>
      <c r="BB161" s="29">
        <f>SUMIFS( E4:E451, N4:N451,"2014", D4:D451,"Cambios sociopolíticos en el mundo moderno y contemporáneo")</f>
        <v>0</v>
      </c>
      <c r="BC161" s="5">
        <f>SUMIFS( E4:E451, N4:N451,"2015", D4:D451,"Cambios sociopolíticos en el mundo moderno y contemporáneo")</f>
        <v>0</v>
      </c>
      <c r="BD161" s="5">
        <f>SUMIFS( E4:E451, N4:N451,"2016", D4:D451,"Cambios sociopolíticos en el mundo moderno y contemporáneo")</f>
        <v>33</v>
      </c>
      <c r="BE161" s="5">
        <f>SUMIFS( E4:E451, N4:N451,"2017", D4:D451,"Cambios sociopolíticos en el mundo moderno y contemporáneo")</f>
        <v>8</v>
      </c>
      <c r="BF161" s="5">
        <f>SUMIFS( E4:E451, N4:N451,"2018", D4:D451,"Cambios sociopolíticos en el mundo moderno y contemporáneo")</f>
        <v>0</v>
      </c>
      <c r="BG161" s="23">
        <f>AVERAGEIFS( E4:E451, D4:D451,"Cambios sociopolíticos en el mundo moderno y contemporáneo")</f>
        <v>8.1999999999999993</v>
      </c>
      <c r="BH161" s="23">
        <v>0</v>
      </c>
      <c r="BI161" s="23">
        <v>0</v>
      </c>
      <c r="BJ161" s="23">
        <f>AVERAGEIFS( E4:E451, A4:A451,"2015", D4:D451,"Cambios sociopolíticos en el mundo moderno y contemporáneo")</f>
        <v>16</v>
      </c>
      <c r="BK161" s="23">
        <f>AVERAGEIFS( E4:E451, A4:A451,"2016", D4:D451,"Cambios sociopolíticos en el mundo moderno y contemporáneo")</f>
        <v>1.5</v>
      </c>
      <c r="BL161" s="23">
        <f>AVERAGEIFS( E4:E451, A4:A451,"2017", D4:D451,"Cambios sociopolíticos en el mundo moderno y contemporáneo")</f>
        <v>6</v>
      </c>
      <c r="BM161" s="23">
        <v>8.1999999999999993</v>
      </c>
      <c r="BN161" s="23">
        <v>0</v>
      </c>
      <c r="BO161" s="23">
        <v>0</v>
      </c>
      <c r="BP161" s="23">
        <v>16</v>
      </c>
      <c r="BQ161" s="23">
        <v>1.5</v>
      </c>
      <c r="BR161" s="23">
        <v>6</v>
      </c>
    </row>
    <row r="162" spans="1:70" ht="15" customHeight="1" x14ac:dyDescent="0.25">
      <c r="A162">
        <v>2017</v>
      </c>
      <c r="B162" s="14" t="s">
        <v>78</v>
      </c>
      <c r="C162" s="14" t="s">
        <v>79</v>
      </c>
      <c r="D162" s="14" t="s">
        <v>53</v>
      </c>
      <c r="E162">
        <v>1</v>
      </c>
      <c r="F162" t="s">
        <v>215</v>
      </c>
      <c r="G162" t="s">
        <v>233</v>
      </c>
      <c r="H162" t="s">
        <v>233</v>
      </c>
      <c r="I162" s="14" t="s">
        <v>233</v>
      </c>
      <c r="J162" s="14" t="s">
        <v>234</v>
      </c>
      <c r="K162" t="s">
        <v>234</v>
      </c>
      <c r="L162" s="14" t="s">
        <v>234</v>
      </c>
      <c r="M162" s="14">
        <v>43084</v>
      </c>
      <c r="N162" s="14" t="str">
        <f t="shared" si="2"/>
        <v>2017</v>
      </c>
      <c r="O162" s="64" t="s">
        <v>183</v>
      </c>
      <c r="P162" s="56"/>
      <c r="Q162" s="56"/>
      <c r="R162" s="56"/>
      <c r="S162" s="56"/>
      <c r="T162" s="57"/>
      <c r="U162" s="5">
        <f>COUNTIFS(   D4:D451,"Conocimiento y Tutela del Patrimonio Histórico")</f>
        <v>3</v>
      </c>
      <c r="V162" s="5">
        <f>COUNTIFS(   D4:D451,"Conocimiento y Tutela del Patrimonio Histórico",F4:F451,"Hombre")</f>
        <v>3</v>
      </c>
      <c r="W162" s="5">
        <f>COUNTIFS(   D4:D451,"Conocimiento y Tutela del Patrimonio Histórico",F4:F451,"Mujer")</f>
        <v>0</v>
      </c>
      <c r="X162" s="29">
        <f>COUNTIFS(   A4:A451,"2013", D4:D451,"Conocimiento y Tutela del Patrimonio Histórico")</f>
        <v>0</v>
      </c>
      <c r="Y162" s="5">
        <f>COUNTIFS(   A4:A451,"2014", D4:D451,"Conocimiento y Tutela del Patrimonio Histórico")</f>
        <v>0</v>
      </c>
      <c r="Z162" s="5">
        <f>COUNTIFS(   A4:A451,"2015", D4:D451,"Conocimiento y Tutela del Patrimonio Histórico")</f>
        <v>0</v>
      </c>
      <c r="AA162" s="5">
        <f>COUNTIFS(   A4:A451,"2016", D4:D451,"Conocimiento y Tutela del Patrimonio Histórico")</f>
        <v>2</v>
      </c>
      <c r="AB162" s="5">
        <f>COUNTIFS(   A4:A451,"2017", D4:D451,"Conocimiento y Tutela del Patrimonio Histórico")</f>
        <v>1</v>
      </c>
      <c r="AC162" s="29">
        <f>COUNTIFS(   N4:N451,"2014", D4:D451,"Conocimiento y Tutela del Patrimonio Histórico")</f>
        <v>0</v>
      </c>
      <c r="AD162" s="5">
        <f>COUNTIFS(   N4:N451,"2015", D4:D451,"Conocimiento y Tutela del Patrimonio Histórico")</f>
        <v>0</v>
      </c>
      <c r="AE162" s="5">
        <f>COUNTIFS(   N4:N451,"2016", D4:D451,"Conocimiento y Tutela del Patrimonio Histórico")</f>
        <v>0</v>
      </c>
      <c r="AF162" s="5">
        <f>COUNTIFS(   N4:N451,"2017", D4:D451,"Conocimiento y Tutela del Patrimonio Histórico")</f>
        <v>2</v>
      </c>
      <c r="AG162" s="5">
        <f>COUNTIFS(   N4:N451,"2018", D4:D451,"Conocimiento y Tutela del Patrimonio Histórico")</f>
        <v>1</v>
      </c>
      <c r="AH162" s="5">
        <f>COUNTIFS(   D4:D451,"Conocimiento y Tutela del Patrimonio Histórico",G4:G451,"Sí")</f>
        <v>0</v>
      </c>
      <c r="AI162" s="5">
        <f>COUNTIFS(   D4:D451,"Conocimiento y Tutela del Patrimonio Histórico",G4:G451,"No")</f>
        <v>3</v>
      </c>
      <c r="AJ162" s="5">
        <f>SUMIFS( E4:E451, D4:D451,"Conocimiento y Tutela del Patrimonio Histórico",G4:G451,"Sí")</f>
        <v>0</v>
      </c>
      <c r="AK162" s="5">
        <f>SUMIFS( E4:E451, D4:D451,"Conocimiento y Tutela del Patrimonio Histórico",G4:G451,"No")</f>
        <v>35</v>
      </c>
      <c r="AL162" s="5">
        <f>COUNTIFS(   D4:D451,"Conocimiento y Tutela del Patrimonio Histórico",H4:H451,"Sí")</f>
        <v>0</v>
      </c>
      <c r="AM162" s="5">
        <f>COUNTIFS(   D4:D451,"Conocimiento y Tutela del Patrimonio Histórico",I4:I451,"Sí")</f>
        <v>1</v>
      </c>
      <c r="AN162" s="5">
        <f>COUNTIFS(   D4:D451,"Conocimiento y Tutela del Patrimonio Histórico",I4:I451,"No")</f>
        <v>2</v>
      </c>
      <c r="AO162" s="5">
        <f>SUMIFS( E4:E451, D4:D451,"Conocimiento y Tutela del Patrimonio Histórico",I4:I451,"Sí")</f>
        <v>22</v>
      </c>
      <c r="AP162" s="5">
        <f>SUMIFS( E4:E451, D4:D451,"Conocimiento y Tutela del Patrimonio Histórico",I4:I451,"No")</f>
        <v>13</v>
      </c>
      <c r="AQ162" s="5">
        <f>COUNTIFS(   D4:D451,"Conocimiento y Tutela del Patrimonio Histórico",J4:J451,"Sí")</f>
        <v>1</v>
      </c>
      <c r="AR162" s="5">
        <f>COUNTIFS(   D4:D451,"Conocimiento y Tutela del Patrimonio Histórico",K4:K451,"Sí")</f>
        <v>0</v>
      </c>
      <c r="AS162" s="5">
        <f>COUNTIFS(   D4:D451,"Conocimiento y Tutela del Patrimonio Histórico",L4:L451,"Sí")</f>
        <v>2</v>
      </c>
      <c r="AT162" s="5">
        <f>SUMIFS( E4:E451, D4:D451,"Conocimiento y Tutela del Patrimonio Histórico")</f>
        <v>35</v>
      </c>
      <c r="AU162" s="5">
        <f>SUMIFS( E4:E451, F4:F451,"Hombre", D4:D451,"Conocimiento y Tutela del Patrimonio Histórico")</f>
        <v>35</v>
      </c>
      <c r="AV162" s="5">
        <f>SUMIFS( E4:E451, F4:F451,"Mujer", D4:D451,"Conocimiento y Tutela del Patrimonio Histórico")</f>
        <v>0</v>
      </c>
      <c r="AW162" s="29">
        <f>SUMIFS( E4:E451, A4:A451,"2013", D4:D451,"Conocimiento y Tutela del Patrimonio Histórico")</f>
        <v>0</v>
      </c>
      <c r="AX162" s="5">
        <f>SUMIFS( E4:E451, A4:A451,"2014", D4:D451,"Conocimiento y Tutela del Patrimonio Histórico")</f>
        <v>0</v>
      </c>
      <c r="AY162" s="5">
        <f>SUMIFS( E4:E451, A4:A451,"2015", D4:D451,"Conocimiento y Tutela del Patrimonio Histórico")</f>
        <v>0</v>
      </c>
      <c r="AZ162" s="5">
        <f>SUMIFS( E4:E451, A4:A451,"2016", D4:D451,"Conocimiento y Tutela del Patrimonio Histórico")</f>
        <v>13</v>
      </c>
      <c r="BA162" s="5">
        <f>SUMIFS( E4:E451, A4:A451,"2017", D4:D451,"Conocimiento y Tutela del Patrimonio Histórico")</f>
        <v>22</v>
      </c>
      <c r="BB162" s="29">
        <f>SUMIFS( E4:E451, N4:N451,"2014", D4:D451,"Conocimiento y Tutela del Patrimonio Histórico")</f>
        <v>0</v>
      </c>
      <c r="BC162" s="5">
        <f>SUMIFS( E4:E451, N4:N451,"2015", D4:D451,"Conocimiento y Tutela del Patrimonio Histórico")</f>
        <v>0</v>
      </c>
      <c r="BD162" s="5">
        <f>SUMIFS( E4:E451, N4:N451,"2016", D4:D451,"Conocimiento y Tutela del Patrimonio Histórico")</f>
        <v>0</v>
      </c>
      <c r="BE162" s="5">
        <f>SUMIFS( E4:E451, N4:N451,"2017", D4:D451,"Conocimiento y Tutela del Patrimonio Histórico")</f>
        <v>13</v>
      </c>
      <c r="BF162" s="5">
        <f>SUMIFS( E4:E451, N4:N451,"2018", D4:D451,"Conocimiento y Tutela del Patrimonio Histórico")</f>
        <v>22</v>
      </c>
      <c r="BG162" s="23">
        <f>AVERAGEIFS( E4:E451, D4:D451,"Conocimiento y Tutela del Patrimonio Histórico")</f>
        <v>11.666666666666666</v>
      </c>
      <c r="BH162" s="23">
        <v>0</v>
      </c>
      <c r="BI162" s="23">
        <v>0</v>
      </c>
      <c r="BJ162" s="23">
        <v>0</v>
      </c>
      <c r="BK162" s="23">
        <f>AVERAGEIFS( E4:E451, A4:A451,"2016", D4:D451,"Conocimiento y Tutela del Patrimonio Histórico")</f>
        <v>6.5</v>
      </c>
      <c r="BL162" s="23">
        <f>AVERAGEIFS( E4:E451, A4:A451,"2017", D4:D451,"Conocimiento y Tutela del Patrimonio Histórico")</f>
        <v>22</v>
      </c>
      <c r="BM162" s="23">
        <v>11.666666666666666</v>
      </c>
      <c r="BN162" s="23">
        <v>0</v>
      </c>
      <c r="BO162" s="23">
        <v>0</v>
      </c>
      <c r="BP162" s="23">
        <v>0</v>
      </c>
      <c r="BQ162" s="23">
        <v>6.5</v>
      </c>
      <c r="BR162" s="23">
        <v>22</v>
      </c>
    </row>
    <row r="163" spans="1:70" ht="15" customHeight="1" x14ac:dyDescent="0.25">
      <c r="A163">
        <v>2017</v>
      </c>
      <c r="B163" s="14" t="s">
        <v>78</v>
      </c>
      <c r="C163" s="14" t="s">
        <v>79</v>
      </c>
      <c r="D163" s="14" t="s">
        <v>57</v>
      </c>
      <c r="E163">
        <v>5</v>
      </c>
      <c r="F163" t="s">
        <v>215</v>
      </c>
      <c r="G163" t="s">
        <v>233</v>
      </c>
      <c r="H163" t="s">
        <v>233</v>
      </c>
      <c r="I163" s="14" t="s">
        <v>234</v>
      </c>
      <c r="J163" s="14" t="s">
        <v>233</v>
      </c>
      <c r="K163" t="s">
        <v>234</v>
      </c>
      <c r="L163" s="14" t="s">
        <v>234</v>
      </c>
      <c r="M163" s="14">
        <v>43066</v>
      </c>
      <c r="N163" s="14" t="str">
        <f t="shared" si="2"/>
        <v>2017</v>
      </c>
      <c r="O163" s="64" t="s">
        <v>180</v>
      </c>
      <c r="P163" s="56"/>
      <c r="Q163" s="56"/>
      <c r="R163" s="56"/>
      <c r="S163" s="56"/>
      <c r="T163" s="57"/>
      <c r="U163" s="5">
        <f>COUNTIFS(   D4:D451,"Creación Artística, Audiovisual y Reflexión Crítica")</f>
        <v>14</v>
      </c>
      <c r="V163" s="5">
        <f>COUNTIFS(   D4:D451,"Creación Artística, Audiovisual y Reflexión Crítica",F4:F451,"Hombre")</f>
        <v>5</v>
      </c>
      <c r="W163" s="5">
        <f>COUNTIFS(   D4:D451,"Creación Artística, Audiovisual y Reflexión Crítica",F4:F451,"Mujer")</f>
        <v>9</v>
      </c>
      <c r="X163" s="29">
        <f>COUNTIFS(   A4:A451,"2013", D4:D451,"Creación Artística, Audiovisual y Reflexión Crítica")</f>
        <v>0</v>
      </c>
      <c r="Y163" s="5">
        <f>COUNTIFS(   A4:A451,"2014", D4:D451,"Creación Artística, Audiovisual y Reflexión Crítica")</f>
        <v>0</v>
      </c>
      <c r="Z163" s="5">
        <f>COUNTIFS(   A4:A451,"2015", D4:D451,"Creación Artística, Audiovisual y Reflexión Crítica")</f>
        <v>1</v>
      </c>
      <c r="AA163" s="5">
        <f>COUNTIFS(   A4:A451,"2016", D4:D451,"Creación Artística, Audiovisual y Reflexión Crítica")</f>
        <v>5</v>
      </c>
      <c r="AB163" s="5">
        <f>COUNTIFS(   A4:A451,"2017", D4:D451,"Creación Artística, Audiovisual y Reflexión Crítica")</f>
        <v>8</v>
      </c>
      <c r="AC163" s="29">
        <f>COUNTIFS(   N4:N451,"2014", D4:D451,"Creación Artística, Audiovisual y Reflexión Crítica")</f>
        <v>0</v>
      </c>
      <c r="AD163" s="5">
        <f>COUNTIFS(   N4:N451,"2015", D4:D451,"Creación Artística, Audiovisual y Reflexión Crítica")</f>
        <v>0</v>
      </c>
      <c r="AE163" s="5">
        <f>COUNTIFS(   N4:N451,"2016", D4:D451,"Creación Artística, Audiovisual y Reflexión Crítica")</f>
        <v>3</v>
      </c>
      <c r="AF163" s="5">
        <f>COUNTIFS(   N4:N451,"2017", D4:D451,"Creación Artística, Audiovisual y Reflexión Crítica")</f>
        <v>5</v>
      </c>
      <c r="AG163" s="5">
        <f>COUNTIFS(   N4:N451,"2018", D4:D451,"Creación Artística, Audiovisual y Reflexión Crítica")</f>
        <v>6</v>
      </c>
      <c r="AH163" s="5">
        <f>COUNTIFS(   D4:D451,"Creación Artística, Audiovisual y Reflexión Crítica",G4:G451,"Sí")</f>
        <v>0</v>
      </c>
      <c r="AI163" s="5">
        <f>COUNTIFS(   D4:D451,"Creación Artística, Audiovisual y Reflexión Crítica",G4:G451,"No")</f>
        <v>14</v>
      </c>
      <c r="AJ163" s="5">
        <f>SUMIFS( E4:E451, D4:D451,"Creación Artística, Audiovisual y Reflexión Crítica",G4:G451,"Sí")</f>
        <v>0</v>
      </c>
      <c r="AK163" s="5">
        <f>SUMIFS( E4:E451, D4:D451,"Creación Artística, Audiovisual y Reflexión Crítica",G4:G451,"No")</f>
        <v>13</v>
      </c>
      <c r="AL163" s="5">
        <f>COUNTIFS(   D4:D451,"Creación Artística, Audiovisual y Reflexión Crítica",H4:H451,"Sí")</f>
        <v>0</v>
      </c>
      <c r="AM163" s="5">
        <f>COUNTIFS(   D4:D451,"Creación Artística, Audiovisual y Reflexión Crítica",I4:I451,"Sí")</f>
        <v>5</v>
      </c>
      <c r="AN163" s="5">
        <f>COUNTIFS(   D4:D451,"Creación Artística, Audiovisual y Reflexión Crítica",I4:I451,"No")</f>
        <v>9</v>
      </c>
      <c r="AO163" s="5">
        <f>SUMIFS( E4:E451, D4:D451,"Creación Artística, Audiovisual y Reflexión Crítica",I4:I451,"Sí")</f>
        <v>6</v>
      </c>
      <c r="AP163" s="5">
        <f>SUMIFS( E4:E451, D4:D451,"Creación Artística, Audiovisual y Reflexión Crítica",I4:I451,"No")</f>
        <v>7</v>
      </c>
      <c r="AQ163" s="5">
        <f>COUNTIFS(   D4:D451,"Creación Artística, Audiovisual y Reflexión Crítica",J4:J451,"Sí")</f>
        <v>9</v>
      </c>
      <c r="AR163" s="5">
        <f>COUNTIFS(   D4:D451,"Creación Artística, Audiovisual y Reflexión Crítica",K4:K451,"Sí")</f>
        <v>5</v>
      </c>
      <c r="AS163" s="5">
        <f>COUNTIFS(   D4:D451,"Creación Artística, Audiovisual y Reflexión Crítica",L4:L451,"Sí")</f>
        <v>10</v>
      </c>
      <c r="AT163" s="5">
        <f>SUMIFS( E4:E451, D4:D451,"Creación Artística, Audiovisual y Reflexión Crítica")</f>
        <v>13</v>
      </c>
      <c r="AU163" s="5">
        <f>SUMIFS( E4:E451, F4:F451,"Hombre", D4:D451,"Creación Artística, Audiovisual y Reflexión Crítica")</f>
        <v>1</v>
      </c>
      <c r="AV163" s="5">
        <f>SUMIFS( E4:E451, F4:F451,"Mujer", D4:D451,"Creación Artística, Audiovisual y Reflexión Crítica")</f>
        <v>12</v>
      </c>
      <c r="AW163" s="29">
        <f>SUMIFS( E4:E451, A4:A451,"2013", D4:D451,"Creación Artística, Audiovisual y Reflexión Crítica")</f>
        <v>0</v>
      </c>
      <c r="AX163" s="5">
        <f>SUMIFS( E4:E451, A4:A451,"2014", D4:D451,"Creación Artística, Audiovisual y Reflexión Crítica")</f>
        <v>0</v>
      </c>
      <c r="AY163" s="5">
        <f>SUMIFS( E4:E451, A4:A451,"2015", D4:D451,"Creación Artística, Audiovisual y Reflexión Crítica")</f>
        <v>3</v>
      </c>
      <c r="AZ163" s="5">
        <f>SUMIFS( E4:E451, A4:A451,"2016", D4:D451,"Creación Artística, Audiovisual y Reflexión Crítica")</f>
        <v>6</v>
      </c>
      <c r="BA163" s="5">
        <f>SUMIFS( E4:E451, A4:A451,"2017", D4:D451,"Creación Artística, Audiovisual y Reflexión Crítica")</f>
        <v>4</v>
      </c>
      <c r="BB163" s="29">
        <f>SUMIFS( E4:E451, N4:N451,"2014", D4:D451,"Creación Artística, Audiovisual y Reflexión Crítica")</f>
        <v>0</v>
      </c>
      <c r="BC163" s="5">
        <f>SUMIFS( E4:E451, N4:N451,"2015", D4:D451,"Creación Artística, Audiovisual y Reflexión Crítica")</f>
        <v>0</v>
      </c>
      <c r="BD163" s="5">
        <f>SUMIFS( E4:E451, N4:N451,"2016", D4:D451,"Creación Artística, Audiovisual y Reflexión Crítica")</f>
        <v>4</v>
      </c>
      <c r="BE163" s="5">
        <f>SUMIFS( E4:E451, N4:N451,"2017", D4:D451,"Creación Artística, Audiovisual y Reflexión Crítica")</f>
        <v>6</v>
      </c>
      <c r="BF163" s="5">
        <f>SUMIFS( E4:E451, N4:N451,"2018", D4:D451,"Creación Artística, Audiovisual y Reflexión Crítica")</f>
        <v>3</v>
      </c>
      <c r="BG163" s="23">
        <f>AVERAGEIFS( E4:E451, D4:D451,"Creación Artística, Audiovisual y Reflexión Crítica")</f>
        <v>0.9285714285714286</v>
      </c>
      <c r="BH163" s="23">
        <v>0</v>
      </c>
      <c r="BI163" s="23">
        <v>0</v>
      </c>
      <c r="BJ163" s="23">
        <f>AVERAGEIFS( E4:E451, A4:A451,"2015", D4:D451,"Creación Artística, Audiovisual y Reflexión Crítica")</f>
        <v>3</v>
      </c>
      <c r="BK163" s="23">
        <f>AVERAGEIFS( E4:E451, A4:A451,"2016", D4:D451,"Creación Artística, Audiovisual y Reflexión Crítica")</f>
        <v>1.2</v>
      </c>
      <c r="BL163" s="23">
        <f>AVERAGEIFS( E4:E451, A4:A451,"2017", D4:D451,"Creación Artística, Audiovisual y Reflexión Crítica")</f>
        <v>0.5</v>
      </c>
      <c r="BM163" s="23">
        <v>1.1428571428571428</v>
      </c>
      <c r="BN163" s="23">
        <v>0</v>
      </c>
      <c r="BO163" s="23">
        <v>0</v>
      </c>
      <c r="BP163" s="23">
        <v>3</v>
      </c>
      <c r="BQ163" s="23">
        <v>1.2</v>
      </c>
      <c r="BR163" s="23">
        <v>0.875</v>
      </c>
    </row>
    <row r="164" spans="1:70" ht="15" customHeight="1" x14ac:dyDescent="0.25">
      <c r="A164">
        <v>2017</v>
      </c>
      <c r="B164" s="14" t="s">
        <v>78</v>
      </c>
      <c r="C164" s="14" t="s">
        <v>79</v>
      </c>
      <c r="D164" s="14" t="s">
        <v>59</v>
      </c>
      <c r="E164">
        <v>10</v>
      </c>
      <c r="F164" t="s">
        <v>211</v>
      </c>
      <c r="G164" t="s">
        <v>233</v>
      </c>
      <c r="H164" t="s">
        <v>234</v>
      </c>
      <c r="I164" s="14" t="s">
        <v>234</v>
      </c>
      <c r="J164" s="14" t="s">
        <v>234</v>
      </c>
      <c r="K164" t="s">
        <v>234</v>
      </c>
      <c r="L164" s="14" t="s">
        <v>234</v>
      </c>
      <c r="M164" s="14">
        <v>43042</v>
      </c>
      <c r="N164" s="14" t="str">
        <f t="shared" si="2"/>
        <v>2017</v>
      </c>
      <c r="O164" s="64" t="s">
        <v>187</v>
      </c>
      <c r="P164" s="56"/>
      <c r="Q164" s="56"/>
      <c r="R164" s="56"/>
      <c r="S164" s="56"/>
      <c r="T164" s="57"/>
      <c r="U164" s="5">
        <f>COUNTIFS(   D4:D451,"Cultura Artística")</f>
        <v>4</v>
      </c>
      <c r="V164" s="5">
        <f>COUNTIFS(   D4:D451,"Cultura Artística",F4:F451,"Hombre")</f>
        <v>4</v>
      </c>
      <c r="W164" s="5">
        <f>COUNTIFS(   D4:D451,"Cultura Artística",F4:F451,"Mujer")</f>
        <v>0</v>
      </c>
      <c r="X164" s="29">
        <f>COUNTIFS(   A4:A451,"2013", D4:D451,"Cultura Artística")</f>
        <v>0</v>
      </c>
      <c r="Y164" s="5">
        <f>COUNTIFS(   A4:A451,"2014", D4:D451,"Cultura Artística")</f>
        <v>0</v>
      </c>
      <c r="Z164" s="5">
        <f>COUNTIFS(   A4:A451,"2015", D4:D451,"Cultura Artística")</f>
        <v>0</v>
      </c>
      <c r="AA164" s="5">
        <f>COUNTIFS(   A4:A451,"2016", D4:D451,"Cultura Artística")</f>
        <v>1</v>
      </c>
      <c r="AB164" s="5">
        <f>COUNTIFS(   A4:A451,"2017", D4:D451,"Cultura Artística")</f>
        <v>3</v>
      </c>
      <c r="AC164" s="29">
        <f>COUNTIFS(   N4:N451,"2014", D4:D451,"Cultura Artística")</f>
        <v>0</v>
      </c>
      <c r="AD164" s="5">
        <f>COUNTIFS(   N4:N451,"2015", D4:D451,"Cultura Artística")</f>
        <v>0</v>
      </c>
      <c r="AE164" s="5">
        <f>COUNTIFS(   N4:N451,"2016", D4:D451,"Cultura Artística")</f>
        <v>0</v>
      </c>
      <c r="AF164" s="5">
        <f>COUNTIFS(   N4:N451,"2017", D4:D451,"Cultura Artística")</f>
        <v>2</v>
      </c>
      <c r="AG164" s="5">
        <f>COUNTIFS(   N4:N451,"2018", D4:D451,"Cultura Artística")</f>
        <v>2</v>
      </c>
      <c r="AH164" s="5">
        <f>COUNTIFS(   D4:D451,"Cultura Artística",G4:G451,"Sí")</f>
        <v>1</v>
      </c>
      <c r="AI164" s="5">
        <f>COUNTIFS(   D4:D451,"Cultura Artística",G4:G451,"No")</f>
        <v>3</v>
      </c>
      <c r="AJ164" s="5">
        <f>SUMIFS( E4:E451, D4:D451,"Cultura Artística",G4:G451,"Sí")</f>
        <v>2</v>
      </c>
      <c r="AK164" s="5">
        <f>SUMIFS( E4:E451, D4:D451,"Cultura Artística",G4:G451,"No")</f>
        <v>2</v>
      </c>
      <c r="AL164" s="5">
        <f>COUNTIFS(   D4:D451,"Cultura Artística",H4:H451,"Sí")</f>
        <v>0</v>
      </c>
      <c r="AM164" s="5">
        <f>COUNTIFS(   D4:D451,"Cultura Artística",I4:I451,"Sí")</f>
        <v>2</v>
      </c>
      <c r="AN164" s="5">
        <f>COUNTIFS(   D4:D451,"Cultura Artística",I4:I451,"No")</f>
        <v>2</v>
      </c>
      <c r="AO164" s="5">
        <f>SUMIFS( E4:E451, D4:D451,"Cultura Artística",I4:I451,"Sí")</f>
        <v>2</v>
      </c>
      <c r="AP164" s="5">
        <f>SUMIFS( E4:E451, D4:D451,"Cultura Artística",I4:I451,"No")</f>
        <v>2</v>
      </c>
      <c r="AQ164" s="5">
        <f>COUNTIFS(   D4:D451,"Cultura Artística",J4:J451,"Sí")</f>
        <v>2</v>
      </c>
      <c r="AR164" s="5">
        <f>COUNTIFS(   D4:D451,"Cultura Artística",K4:K451,"Sí")</f>
        <v>2</v>
      </c>
      <c r="AS164" s="5">
        <f>COUNTIFS(   D4:D451,"Cultura Artística",L4:L451,"Sí")</f>
        <v>4</v>
      </c>
      <c r="AT164" s="5">
        <f>SUMIFS( E4:E451, D4:D451,"Cultura Artística")</f>
        <v>4</v>
      </c>
      <c r="AU164" s="5">
        <f>SUMIFS( E4:E451, F4:F451,"Hombre", D4:D451,"Cultura Artística")</f>
        <v>4</v>
      </c>
      <c r="AV164" s="5">
        <f>SUMIFS( E4:E451, F4:F451,"Mujer", D4:D451,"Cultura Artística")</f>
        <v>0</v>
      </c>
      <c r="AW164" s="29">
        <f>SUMIFS( E4:E451, A4:A451,"2013", D4:D451,"Cultura Artística")</f>
        <v>0</v>
      </c>
      <c r="AX164" s="5">
        <f>SUMIFS( E4:E451, A4:A451,"2014", D4:D451,"Cultura Artística")</f>
        <v>0</v>
      </c>
      <c r="AY164" s="5">
        <f>SUMIFS( E4:E451, A4:A451,"2015", D4:D451,"Cultura Artística")</f>
        <v>0</v>
      </c>
      <c r="AZ164" s="5">
        <f>SUMIFS( E4:E451, A4:A451,"2016", D4:D451,"Cultura Artística")</f>
        <v>0</v>
      </c>
      <c r="BA164" s="5">
        <f>SUMIFS( E4:E451, A4:A451,"2017", D4:D451,"Cultura Artística")</f>
        <v>4</v>
      </c>
      <c r="BB164" s="29">
        <f>SUMIFS( E4:E451, N4:N451,"2014", D4:D451,"Cultura Artística")</f>
        <v>0</v>
      </c>
      <c r="BC164" s="5">
        <f>SUMIFS( E4:E451, N4:N451,"2015", D4:D451,"Cultura Artística")</f>
        <v>0</v>
      </c>
      <c r="BD164" s="5">
        <f>SUMIFS( E4:E451, N4:N451,"2016", D4:D451,"Cultura Artística")</f>
        <v>0</v>
      </c>
      <c r="BE164" s="5">
        <f>SUMIFS( E4:E451, N4:N451,"2017", D4:D451,"Cultura Artística")</f>
        <v>0</v>
      </c>
      <c r="BF164" s="5">
        <f>SUMIFS( E4:E451, N4:N451,"2018", D4:D451,"Cultura Artística")</f>
        <v>4</v>
      </c>
      <c r="BG164" s="23">
        <f>AVERAGEIFS( E4:E451, D4:D451,"Cultura Artística")</f>
        <v>1</v>
      </c>
      <c r="BH164" s="23">
        <v>0</v>
      </c>
      <c r="BI164" s="23">
        <v>0</v>
      </c>
      <c r="BJ164" s="23">
        <v>0</v>
      </c>
      <c r="BK164" s="23">
        <f>AVERAGEIFS( E4:E451, A4:A451,"2016", D4:D451,"Cultura Artística")</f>
        <v>0</v>
      </c>
      <c r="BL164" s="23">
        <f>AVERAGEIFS( E4:E451, A4:A451,"2017", D4:D451,"Cultura Artística")</f>
        <v>1.3333333333333333</v>
      </c>
      <c r="BM164" s="23">
        <v>1</v>
      </c>
      <c r="BN164" s="23">
        <v>0</v>
      </c>
      <c r="BO164" s="23">
        <v>0</v>
      </c>
      <c r="BP164" s="23">
        <v>0</v>
      </c>
      <c r="BQ164" s="23">
        <v>0</v>
      </c>
      <c r="BR164" s="23">
        <v>1.3333333333333333</v>
      </c>
    </row>
    <row r="165" spans="1:70" ht="15" customHeight="1" x14ac:dyDescent="0.25">
      <c r="A165">
        <v>2017</v>
      </c>
      <c r="B165" s="14" t="s">
        <v>78</v>
      </c>
      <c r="C165" s="14" t="s">
        <v>79</v>
      </c>
      <c r="D165" s="14" t="s">
        <v>54</v>
      </c>
      <c r="E165">
        <v>1</v>
      </c>
      <c r="F165" t="s">
        <v>211</v>
      </c>
      <c r="G165" t="s">
        <v>233</v>
      </c>
      <c r="H165" t="s">
        <v>233</v>
      </c>
      <c r="I165" s="14" t="s">
        <v>233</v>
      </c>
      <c r="J165" s="14" t="s">
        <v>234</v>
      </c>
      <c r="K165" t="s">
        <v>234</v>
      </c>
      <c r="L165" s="14" t="s">
        <v>234</v>
      </c>
      <c r="M165" s="14">
        <v>42999</v>
      </c>
      <c r="N165" s="14" t="str">
        <f t="shared" si="2"/>
        <v>2017</v>
      </c>
      <c r="O165" s="64" t="s">
        <v>181</v>
      </c>
      <c r="P165" s="56"/>
      <c r="Q165" s="56"/>
      <c r="R165" s="56"/>
      <c r="S165" s="56"/>
      <c r="T165" s="57"/>
      <c r="U165" s="5">
        <f>COUNTIFS(   D4:D451,"Cultura, Creación y Educación Musical")</f>
        <v>8</v>
      </c>
      <c r="V165" s="5">
        <f>COUNTIFS(   D4:D451,"Cultura, Creación y Educación Musical",F4:F451,"Hombre")</f>
        <v>6</v>
      </c>
      <c r="W165" s="5">
        <f>COUNTIFS(   D4:D451,"Cultura, Creación y Educación Musical",F4:F451,"Mujer")</f>
        <v>2</v>
      </c>
      <c r="X165" s="29">
        <f>COUNTIFS(   A4:A451,"2013", D4:D451,"Cultura, Creación y Educación Musical")</f>
        <v>0</v>
      </c>
      <c r="Y165" s="5">
        <f>COUNTIFS(   A4:A451,"2014", D4:D451,"Cultura, Creación y Educación Musical")</f>
        <v>0</v>
      </c>
      <c r="Z165" s="5">
        <f>COUNTIFS(   A4:A451,"2015", D4:D451,"Cultura, Creación y Educación Musical")</f>
        <v>0</v>
      </c>
      <c r="AA165" s="5">
        <f>COUNTIFS(   A4:A451,"2016", D4:D451,"Cultura, Creación y Educación Musical")</f>
        <v>4</v>
      </c>
      <c r="AB165" s="5">
        <f>COUNTIFS(   A4:A451,"2017", D4:D451,"Cultura, Creación y Educación Musical")</f>
        <v>4</v>
      </c>
      <c r="AC165" s="29">
        <f>COUNTIFS(   N4:N451,"2014", D4:D451,"Cultura, Creación y Educación Musical")</f>
        <v>0</v>
      </c>
      <c r="AD165" s="5">
        <f>COUNTIFS(   N4:N451,"2015", D4:D451,"Cultura, Creación y Educación Musical")</f>
        <v>0</v>
      </c>
      <c r="AE165" s="5">
        <f>COUNTIFS(   N4:N451,"2016", D4:D451,"Cultura, Creación y Educación Musical")</f>
        <v>1</v>
      </c>
      <c r="AF165" s="5">
        <f>COUNTIFS(   N4:N451,"2017", D4:D451,"Cultura, Creación y Educación Musical")</f>
        <v>3</v>
      </c>
      <c r="AG165" s="5">
        <f>COUNTIFS(   N4:N451,"2018", D4:D451,"Cultura, Creación y Educación Musical")</f>
        <v>4</v>
      </c>
      <c r="AH165" s="5">
        <f>COUNTIFS(   D4:D451,"Cultura, Creación y Educación Musical",G4:G451,"Sí")</f>
        <v>0</v>
      </c>
      <c r="AI165" s="5">
        <f>COUNTIFS(   D4:D451,"Cultura, Creación y Educación Musical",G4:G451,"No")</f>
        <v>8</v>
      </c>
      <c r="AJ165" s="5">
        <f>SUMIFS( E4:E451, D4:D451,"Cultura, Creación y Educación Musical",G4:G451,"Sí")</f>
        <v>0</v>
      </c>
      <c r="AK165" s="5">
        <f>SUMIFS( E4:E451, D4:D451,"Cultura, Creación y Educación Musical",G4:G451,"No")</f>
        <v>4</v>
      </c>
      <c r="AL165" s="5">
        <f>COUNTIFS(   D4:D451,"Cultura, Creación y Educación Musical",H4:H451,"Sí")</f>
        <v>0</v>
      </c>
      <c r="AM165" s="5">
        <f>COUNTIFS(   D4:D451,"Cultura, Creación y Educación Musical",I4:I451,"Sí")</f>
        <v>0</v>
      </c>
      <c r="AN165" s="5">
        <f>COUNTIFS(   D4:D451,"Cultura, Creación y Educación Musical",I4:I451,"No")</f>
        <v>8</v>
      </c>
      <c r="AO165" s="5">
        <f>SUMIFS( E4:E451, D4:D451,"Cultura, Creación y Educación Musical",I4:I451,"Sí")</f>
        <v>0</v>
      </c>
      <c r="AP165" s="5">
        <f>SUMIFS( E4:E451, D4:D451,"Cultura, Creación y Educación Musical",I4:I451,"No")</f>
        <v>4</v>
      </c>
      <c r="AQ165" s="5">
        <f>COUNTIFS(   D4:D451,"Cultura, Creación y Educación Musical",J4:J451,"Sí")</f>
        <v>4</v>
      </c>
      <c r="AR165" s="5">
        <f>COUNTIFS(   D4:D451,"Cultura, Creación y Educación Musical",K4:K451,"Sí")</f>
        <v>2</v>
      </c>
      <c r="AS165" s="5">
        <f>COUNTIFS(   D4:D451,"Cultura, Creación y Educación Musical",L4:L451,"Sí")</f>
        <v>6</v>
      </c>
      <c r="AT165" s="5">
        <f>SUMIFS( E4:E451, D4:D451,"Cultura, Creación y Educación Musical")</f>
        <v>4</v>
      </c>
      <c r="AU165" s="5">
        <f>SUMIFS( E4:E451, F4:F451,"Hombre", D4:D451,"Cultura, Creación y Educación Musical")</f>
        <v>3</v>
      </c>
      <c r="AV165" s="5">
        <f>SUMIFS( E4:E451, F4:F451,"Mujer", D4:D451,"Cultura, Creación y Educación Musical")</f>
        <v>1</v>
      </c>
      <c r="AW165" s="29">
        <f>SUMIFS( E4:E451, A4:A451,"2013", D4:D451,"Cultura, Creación y Educación Musical")</f>
        <v>0</v>
      </c>
      <c r="AX165" s="5">
        <f>SUMIFS( E4:E451, A4:A451,"2014", D4:D451,"Cultura, Creación y Educación Musical")</f>
        <v>0</v>
      </c>
      <c r="AY165" s="5">
        <f>SUMIFS( E4:E451, A4:A451,"2015", D4:D451,"Cultura, Creación y Educación Musical")</f>
        <v>0</v>
      </c>
      <c r="AZ165" s="5">
        <f>SUMIFS( E4:E451, A4:A451,"2016", D4:D451,"Cultura, Creación y Educación Musical")</f>
        <v>3</v>
      </c>
      <c r="BA165" s="5">
        <f>SUMIFS( E4:E451, A4:A451,"2017", D4:D451,"Cultura, Creación y Educación Musical")</f>
        <v>1</v>
      </c>
      <c r="BB165" s="29">
        <f>SUMIFS( E4:E451, N4:N451,"2014", D4:D451,"Cultura, Creación y Educación Musical")</f>
        <v>0</v>
      </c>
      <c r="BC165" s="5">
        <f>SUMIFS( E4:E451, N4:N451,"2015", D4:D451,"Cultura, Creación y Educación Musical")</f>
        <v>0</v>
      </c>
      <c r="BD165" s="5">
        <f>SUMIFS( E4:E451, N4:N451,"2016", D4:D451,"Cultura, Creación y Educación Musical")</f>
        <v>1</v>
      </c>
      <c r="BE165" s="5">
        <f>SUMIFS( E4:E451, N4:N451,"2017", D4:D451,"Cultura, Creación y Educación Musical")</f>
        <v>2</v>
      </c>
      <c r="BF165" s="5">
        <f>SUMIFS( E4:E451, N4:N451,"2018", D4:D451,"Cultura, Creación y Educación Musical")</f>
        <v>1</v>
      </c>
      <c r="BG165" s="23">
        <f>AVERAGEIFS( E4:E451, D4:D451,"Cultura, Creación y Educación Musical")</f>
        <v>0.5</v>
      </c>
      <c r="BH165" s="23">
        <v>0</v>
      </c>
      <c r="BI165" s="23">
        <v>0</v>
      </c>
      <c r="BJ165" s="23">
        <v>0</v>
      </c>
      <c r="BK165" s="23">
        <f>AVERAGEIFS( E4:E451, A4:A451,"2016", D4:D451,"Cultura, Creación y Educación Musical")</f>
        <v>0.75</v>
      </c>
      <c r="BL165" s="23">
        <f>AVERAGEIFS( E4:E451, A4:A451,"2017", D4:D451,"Cultura, Creación y Educación Musical")</f>
        <v>0.25</v>
      </c>
      <c r="BM165" s="23">
        <v>0.5</v>
      </c>
      <c r="BN165" s="23">
        <v>0</v>
      </c>
      <c r="BO165" s="23">
        <v>0</v>
      </c>
      <c r="BP165" s="23">
        <v>0</v>
      </c>
      <c r="BQ165" s="23">
        <v>0.75</v>
      </c>
      <c r="BR165" s="23">
        <v>0.25</v>
      </c>
    </row>
    <row r="166" spans="1:70" ht="15" customHeight="1" x14ac:dyDescent="0.25">
      <c r="A166">
        <v>2016</v>
      </c>
      <c r="B166" s="14" t="s">
        <v>78</v>
      </c>
      <c r="C166" s="14" t="s">
        <v>79</v>
      </c>
      <c r="D166" s="14" t="s">
        <v>50</v>
      </c>
      <c r="E166">
        <v>11</v>
      </c>
      <c r="F166" t="s">
        <v>215</v>
      </c>
      <c r="G166" t="s">
        <v>233</v>
      </c>
      <c r="H166" t="s">
        <v>233</v>
      </c>
      <c r="I166" s="14" t="s">
        <v>234</v>
      </c>
      <c r="J166" s="14" t="s">
        <v>234</v>
      </c>
      <c r="K166" s="14" t="s">
        <v>233</v>
      </c>
      <c r="L166" s="14" t="s">
        <v>234</v>
      </c>
      <c r="M166" s="14">
        <v>42908</v>
      </c>
      <c r="N166" s="14" t="str">
        <f t="shared" si="2"/>
        <v>2017</v>
      </c>
      <c r="O166" s="64" t="s">
        <v>188</v>
      </c>
      <c r="P166" s="56"/>
      <c r="Q166" s="56"/>
      <c r="R166" s="56"/>
      <c r="S166" s="56"/>
      <c r="T166" s="57"/>
      <c r="U166" s="5">
        <f>COUNTIFS(   D4:D451,"Género e Historia")</f>
        <v>1</v>
      </c>
      <c r="V166" s="5">
        <f>COUNTIFS(   D4:D451,"Género e Historia",F4:F451,"Hombre")</f>
        <v>0</v>
      </c>
      <c r="W166" s="5">
        <f>COUNTIFS(   D4:D451,"Género e Historia",F4:F451,"Mujer")</f>
        <v>1</v>
      </c>
      <c r="X166" s="29">
        <f>COUNTIFS(   A4:A451,"2013", D4:D451,"Género e Historia")</f>
        <v>0</v>
      </c>
      <c r="Y166" s="5">
        <f>COUNTIFS(   A4:A451,"2014", D4:D451,"Género e Historia")</f>
        <v>0</v>
      </c>
      <c r="Z166" s="5">
        <f>COUNTIFS(   A4:A451,"2015", D4:D451,"Género e Historia")</f>
        <v>0</v>
      </c>
      <c r="AA166" s="5">
        <f>COUNTIFS(   A4:A451,"2016", D4:D451,"Género e Historia")</f>
        <v>0</v>
      </c>
      <c r="AB166" s="5">
        <f>COUNTIFS(   A4:A451,"2017", D4:D451,"Género e Historia")</f>
        <v>1</v>
      </c>
      <c r="AC166" s="29">
        <f>COUNTIFS(   N4:N451,"2014", D4:D451,"Género e Historia")</f>
        <v>0</v>
      </c>
      <c r="AD166" s="5">
        <f>COUNTIFS(   N4:N451,"2015", D4:D451,"Género e Historia")</f>
        <v>0</v>
      </c>
      <c r="AE166" s="5">
        <f>COUNTIFS(   N4:N451,"2016", D4:D451,"Género e Historia")</f>
        <v>0</v>
      </c>
      <c r="AF166" s="5">
        <f>COUNTIFS(   N4:N451,"2017", D4:D451,"Género e Historia")</f>
        <v>0</v>
      </c>
      <c r="AG166" s="5">
        <f>COUNTIFS(   N4:N451,"2018", D4:D451,"Género e Historia")</f>
        <v>1</v>
      </c>
      <c r="AH166" s="5">
        <f>COUNTIFS(   D4:D451,"Género e Historia",G4:G451,"Sí")</f>
        <v>0</v>
      </c>
      <c r="AI166" s="5">
        <f>COUNTIFS(   D4:D451,"Género e Historia",G4:G451,"No")</f>
        <v>1</v>
      </c>
      <c r="AJ166" s="5">
        <f>SUMIFS( E4:E451, D4:D451,"Género e Historia",G4:G451,"Sí")</f>
        <v>0</v>
      </c>
      <c r="AK166" s="5">
        <f>SUMIFS( E4:E451, D4:D451,"Género e Historia",G4:G451,"No")</f>
        <v>3</v>
      </c>
      <c r="AL166" s="5">
        <f>COUNTIFS(   D4:D451,"Género e Historia",H4:H451,"Sí")</f>
        <v>0</v>
      </c>
      <c r="AM166" s="5">
        <f>COUNTIFS(   D4:D451,"Género e Historia",I4:I451,"Sí")</f>
        <v>0</v>
      </c>
      <c r="AN166" s="5">
        <f>COUNTIFS(   D4:D451,"Género e Historia",I4:I451,"No")</f>
        <v>1</v>
      </c>
      <c r="AO166" s="5">
        <f>SUMIFS( E4:E451, D4:D451,"Género e Historia",I4:I451,"Sí")</f>
        <v>0</v>
      </c>
      <c r="AP166" s="5">
        <f>SUMIFS( E4:E451, D4:D451,"Género e Historia",I4:I451,"No")</f>
        <v>3</v>
      </c>
      <c r="AQ166" s="5">
        <f>COUNTIFS(   D4:D451,"Género e Historia",J4:J451,"Sí")</f>
        <v>1</v>
      </c>
      <c r="AR166" s="5">
        <f>COUNTIFS(   D4:D451,"Género e Historia",K4:K451,"Sí")</f>
        <v>1</v>
      </c>
      <c r="AS166" s="5">
        <f>COUNTIFS(   D4:D451,"Género e Historia",L4:L451,"Sí")</f>
        <v>1</v>
      </c>
      <c r="AT166" s="5">
        <f>SUMIFS( E4:E451, D4:D451,"Género e Historia")</f>
        <v>3</v>
      </c>
      <c r="AU166" s="5">
        <f>SUMIFS( E4:E451, F4:F451,"Hombre", D4:D451,"Género e Historia")</f>
        <v>0</v>
      </c>
      <c r="AV166" s="5">
        <f>SUMIFS( E4:E451, F4:F451,"Mujer", D4:D451,"Género e Historia")</f>
        <v>3</v>
      </c>
      <c r="AW166" s="29">
        <f>SUMIFS( E4:E451, A4:A451,"2013", D4:D451,"Género e Historia")</f>
        <v>0</v>
      </c>
      <c r="AX166" s="5">
        <f>SUMIFS( E4:E451, A4:A451,"2014", D4:D451,"Género e Historia")</f>
        <v>0</v>
      </c>
      <c r="AY166" s="5">
        <f>SUMIFS( E4:E451, A4:A451,"2015", D4:D451,"Género e Historia")</f>
        <v>0</v>
      </c>
      <c r="AZ166" s="5">
        <f>SUMIFS( E4:E451, A4:A451,"2016", D4:D451,"Género e Historia")</f>
        <v>0</v>
      </c>
      <c r="BA166" s="5">
        <f>SUMIFS( E4:E451, A4:A451,"2017", D4:D451,"Género e Historia")</f>
        <v>3</v>
      </c>
      <c r="BB166" s="29">
        <f>SUMIFS( E4:E451, N4:N451,"2014", D4:D451,"Género e Historia")</f>
        <v>0</v>
      </c>
      <c r="BC166" s="5">
        <f>SUMIFS( E4:E451, N4:N451,"2015", D4:D451,"Género e Historia")</f>
        <v>0</v>
      </c>
      <c r="BD166" s="5">
        <f>SUMIFS( E4:E451, N4:N451,"2016", D4:D451,"Género e Historia")</f>
        <v>0</v>
      </c>
      <c r="BE166" s="5">
        <f>SUMIFS( E4:E451, N4:N451,"2017", D4:D451,"Género e Historia")</f>
        <v>0</v>
      </c>
      <c r="BF166" s="5">
        <f>SUMIFS( E4:E451, N4:N451,"2018", D4:D451,"Género e Historia")</f>
        <v>3</v>
      </c>
      <c r="BG166" s="23">
        <f>AVERAGEIFS( E4:E451, D4:D451,"Género e Historia")</f>
        <v>3</v>
      </c>
      <c r="BH166" s="23">
        <v>0</v>
      </c>
      <c r="BI166" s="23">
        <v>0</v>
      </c>
      <c r="BJ166" s="23">
        <v>0</v>
      </c>
      <c r="BK166" s="23">
        <v>0</v>
      </c>
      <c r="BL166" s="23">
        <f>AVERAGEIFS( E4:E451, A4:A451,"2017", D4:D451,"Género e Historia")</f>
        <v>3</v>
      </c>
      <c r="BM166" s="23">
        <v>3</v>
      </c>
      <c r="BN166" s="23">
        <v>0</v>
      </c>
      <c r="BO166" s="23">
        <v>0</v>
      </c>
      <c r="BP166" s="23">
        <v>0</v>
      </c>
      <c r="BQ166" s="23">
        <v>0</v>
      </c>
      <c r="BR166" s="23">
        <v>3</v>
      </c>
    </row>
    <row r="167" spans="1:70" ht="15" customHeight="1" x14ac:dyDescent="0.25">
      <c r="A167">
        <v>2016</v>
      </c>
      <c r="B167" s="14" t="s">
        <v>78</v>
      </c>
      <c r="C167" s="14" t="s">
        <v>79</v>
      </c>
      <c r="D167" s="14" t="s">
        <v>56</v>
      </c>
      <c r="E167">
        <v>8</v>
      </c>
      <c r="F167" t="s">
        <v>211</v>
      </c>
      <c r="G167" t="s">
        <v>233</v>
      </c>
      <c r="H167" t="s">
        <v>233</v>
      </c>
      <c r="I167" s="14" t="s">
        <v>234</v>
      </c>
      <c r="J167" s="14" t="s">
        <v>234</v>
      </c>
      <c r="K167" t="s">
        <v>234</v>
      </c>
      <c r="L167" s="14" t="s">
        <v>234</v>
      </c>
      <c r="M167" s="14">
        <v>42895</v>
      </c>
      <c r="N167" s="14" t="str">
        <f t="shared" si="2"/>
        <v>2017</v>
      </c>
      <c r="O167" s="64" t="s">
        <v>191</v>
      </c>
      <c r="P167" s="56"/>
      <c r="Q167" s="56"/>
      <c r="R167" s="56"/>
      <c r="S167" s="56"/>
      <c r="T167" s="57"/>
      <c r="U167" s="5">
        <f>COUNTIFS(   D4:D451,"Historia y tradición clásica")</f>
        <v>1</v>
      </c>
      <c r="V167" s="5">
        <f>COUNTIFS(   D4:D451,"Historia y tradición clásica",F4:F451,"Hombre")</f>
        <v>0</v>
      </c>
      <c r="W167" s="5">
        <f>COUNTIFS(   D4:D451,"Historia y tradición clásica",F4:F451,"Mujer")</f>
        <v>1</v>
      </c>
      <c r="X167" s="29">
        <f>COUNTIFS(   A4:A451,"2013", D4:D451,"Historia y tradición clásica")</f>
        <v>0</v>
      </c>
      <c r="Y167" s="5">
        <f>COUNTIFS(   A4:A451,"2014", D4:D451,"Historia y tradición clásica")</f>
        <v>0</v>
      </c>
      <c r="Z167" s="5">
        <f>COUNTIFS(   A4:A451,"2015", D4:D451,"Historia y tradición clásica")</f>
        <v>0</v>
      </c>
      <c r="AA167" s="5">
        <f>COUNTIFS(   A4:A451,"2016", D4:D451,"Historia y tradición clásica")</f>
        <v>1</v>
      </c>
      <c r="AB167" s="5">
        <f>COUNTIFS(   A4:A451,"2017", D4:D451,"Historia y tradición clásica")</f>
        <v>0</v>
      </c>
      <c r="AC167" s="29">
        <f>COUNTIFS(   N4:N451,"2014", D4:D451,"Historia y tradición clásica")</f>
        <v>0</v>
      </c>
      <c r="AD167" s="5">
        <f>COUNTIFS(   N4:N451,"2015", D4:D451,"Historia y tradición clásica")</f>
        <v>0</v>
      </c>
      <c r="AE167" s="5">
        <f>COUNTIFS(   N4:N451,"2016", D4:D451,"Historia y tradición clásica")</f>
        <v>0</v>
      </c>
      <c r="AF167" s="5">
        <f>COUNTIFS(   N4:N451,"2017", D4:D451,"Historia y tradición clásica")</f>
        <v>1</v>
      </c>
      <c r="AG167" s="5">
        <f>COUNTIFS(   N4:N451,"2018", D4:D451,"Historia y tradición clásica")</f>
        <v>0</v>
      </c>
      <c r="AH167" s="5">
        <f>COUNTIFS(   D4:D451,"Historia y tradición clásica",G4:G451,"Sí")</f>
        <v>0</v>
      </c>
      <c r="AI167" s="5">
        <f>COUNTIFS(   D4:D451,"Historia y tradición clásica",G4:G451,"No")</f>
        <v>1</v>
      </c>
      <c r="AJ167" s="5">
        <f>SUMIFS( E4:E451, D4:D451,"Historia y tradición clásica",G4:G451,"Sí")</f>
        <v>0</v>
      </c>
      <c r="AK167" s="5">
        <f>SUMIFS( E4:E451, D4:D451,"Historia y tradición clásica",G4:G451,"No")</f>
        <v>2</v>
      </c>
      <c r="AL167" s="5">
        <f>COUNTIFS(   D4:D451,"Historia y tradición clásica",H4:H451,"Sí")</f>
        <v>0</v>
      </c>
      <c r="AM167" s="5">
        <f>COUNTIFS(   D4:D451,"Historia y tradición clásica",I4:I451,"Sí")</f>
        <v>0</v>
      </c>
      <c r="AN167" s="5">
        <f>COUNTIFS(   D4:D451,"Historia y tradición clásica",I4:I451,"No")</f>
        <v>1</v>
      </c>
      <c r="AO167" s="5">
        <f>SUMIFS( E4:E451, D4:D451,"Historia y tradición clásica",I4:I451,"Sí")</f>
        <v>0</v>
      </c>
      <c r="AP167" s="5">
        <f>SUMIFS( E4:E451, D4:D451,"Historia y tradición clásica",I4:I451,"No")</f>
        <v>2</v>
      </c>
      <c r="AQ167" s="5">
        <f>COUNTIFS(   D4:D451,"Historia y tradición clásica",J4:J451,"Sí")</f>
        <v>1</v>
      </c>
      <c r="AR167" s="5">
        <f>COUNTIFS(   D4:D451,"Historia y tradición clásica",K4:K451,"Sí")</f>
        <v>1</v>
      </c>
      <c r="AS167" s="5">
        <f>COUNTIFS(   D4:D451,"Historia y tradición clásica",L4:L451,"Sí")</f>
        <v>1</v>
      </c>
      <c r="AT167" s="5">
        <f>SUMIFS( E4:E451, D4:D451,"Historia y tradición clásica")</f>
        <v>2</v>
      </c>
      <c r="AU167" s="5">
        <f>SUMIFS( E4:E451, F4:F451,"Hombre", D4:D451,"Historia y tradición clásica")</f>
        <v>0</v>
      </c>
      <c r="AV167" s="5">
        <f>SUMIFS( E4:E451, F4:F451,"Mujer", D4:D451,"Historia y tradición clásica")</f>
        <v>2</v>
      </c>
      <c r="AW167" s="29">
        <f>SUMIFS( E4:E451, A4:A451,"2013", D4:D451,"Historia y tradición clásica")</f>
        <v>0</v>
      </c>
      <c r="AX167" s="5">
        <f>SUMIFS( E4:E451, A4:A451,"2014", D4:D451,"Historia y tradición clásica")</f>
        <v>0</v>
      </c>
      <c r="AY167" s="5">
        <f>SUMIFS( E4:E451, A4:A451,"2015", D4:D451,"Historia y tradición clásica")</f>
        <v>0</v>
      </c>
      <c r="AZ167" s="5">
        <f>SUMIFS( E4:E451, A4:A451,"2016", D4:D451,"Historia y tradición clásica")</f>
        <v>2</v>
      </c>
      <c r="BA167" s="5">
        <f>SUMIFS( E4:E451, A4:A451,"2017", D4:D451,"Historia y tradición clásica")</f>
        <v>0</v>
      </c>
      <c r="BB167" s="29">
        <f>SUMIFS( E4:E451, N4:N451,"2014", D4:D451,"Historia y tradición clásica")</f>
        <v>0</v>
      </c>
      <c r="BC167" s="5">
        <f>SUMIFS( E4:E451, N4:N451,"2015", D4:D451,"Historia y tradición clásica")</f>
        <v>0</v>
      </c>
      <c r="BD167" s="5">
        <f>SUMIFS( E4:E451, N4:N451,"2016", D4:D451,"Historia y tradición clásica")</f>
        <v>0</v>
      </c>
      <c r="BE167" s="5">
        <f>SUMIFS( E4:E451, N4:N451,"2017", D4:D451,"Historia y tradición clásica")</f>
        <v>2</v>
      </c>
      <c r="BF167" s="5">
        <f>SUMIFS( E4:E451, N4:N451,"2018", D4:D451,"Historia y tradición clásica")</f>
        <v>0</v>
      </c>
      <c r="BG167" s="23">
        <f>AVERAGEIFS( E4:E451, D4:D451,"Historia y tradición clásica")</f>
        <v>2</v>
      </c>
      <c r="BH167" s="23">
        <v>0</v>
      </c>
      <c r="BI167" s="23">
        <v>0</v>
      </c>
      <c r="BJ167" s="23">
        <v>0</v>
      </c>
      <c r="BK167" s="23">
        <f>AVERAGEIFS( E4:E451, A4:A451,"2016", D4:D451,"Historia y tradición clásica")</f>
        <v>2</v>
      </c>
      <c r="BL167" s="23">
        <v>0</v>
      </c>
      <c r="BM167" s="23">
        <v>2</v>
      </c>
      <c r="BN167" s="23">
        <v>0</v>
      </c>
      <c r="BO167" s="23">
        <v>0</v>
      </c>
      <c r="BP167" s="23">
        <v>0</v>
      </c>
      <c r="BQ167" s="23">
        <v>2</v>
      </c>
      <c r="BR167" s="23">
        <v>0</v>
      </c>
    </row>
    <row r="168" spans="1:70" ht="15" customHeight="1" x14ac:dyDescent="0.25">
      <c r="A168">
        <v>2016</v>
      </c>
      <c r="B168" s="14" t="s">
        <v>78</v>
      </c>
      <c r="C168" s="14" t="s">
        <v>79</v>
      </c>
      <c r="D168" s="14" t="s">
        <v>59</v>
      </c>
      <c r="E168">
        <v>11</v>
      </c>
      <c r="F168" t="s">
        <v>215</v>
      </c>
      <c r="G168" t="s">
        <v>233</v>
      </c>
      <c r="H168" t="s">
        <v>233</v>
      </c>
      <c r="I168" s="14" t="s">
        <v>234</v>
      </c>
      <c r="J168" s="14" t="s">
        <v>234</v>
      </c>
      <c r="K168" s="14" t="s">
        <v>233</v>
      </c>
      <c r="L168" s="14" t="s">
        <v>234</v>
      </c>
      <c r="M168" s="14">
        <v>42720</v>
      </c>
      <c r="N168" s="14" t="str">
        <f t="shared" si="2"/>
        <v>2016</v>
      </c>
      <c r="O168" s="64" t="s">
        <v>190</v>
      </c>
      <c r="P168" s="56"/>
      <c r="Q168" s="56"/>
      <c r="R168" s="56"/>
      <c r="S168" s="56"/>
      <c r="T168" s="57"/>
      <c r="U168" s="5">
        <f>COUNTIFS(   D4:D451,"Restauración y Conservación de Bienes patrimoniales")</f>
        <v>1</v>
      </c>
      <c r="V168" s="5">
        <f>COUNTIFS(   D4:D451,"Restauración y Conservación de Bienes patrimoniales",F4:F451,"Hombre")</f>
        <v>0</v>
      </c>
      <c r="W168" s="5">
        <f>COUNTIFS(   D4:D451,"Restauración y Conservación de Bienes patrimoniales",F4:F451,"Mujer")</f>
        <v>1</v>
      </c>
      <c r="X168" s="29">
        <f>COUNTIFS(   A4:A451,"2013", D4:D451,"Restauración y Conservación de Bienes patrimoniales")</f>
        <v>0</v>
      </c>
      <c r="Y168" s="5">
        <f>COUNTIFS(   A4:A451,"2014", D4:D451,"Restauración y Conservación de Bienes patrimoniales")</f>
        <v>0</v>
      </c>
      <c r="Z168" s="5">
        <f>COUNTIFS(   A4:A451,"2015", D4:D451,"Restauración y Conservación de Bienes patrimoniales")</f>
        <v>0</v>
      </c>
      <c r="AA168" s="5">
        <f>COUNTIFS(   A4:A451,"2016", D4:D451,"Restauración y Conservación de Bienes patrimoniales")</f>
        <v>1</v>
      </c>
      <c r="AB168" s="5">
        <f>COUNTIFS(   A4:A451,"2017", D4:D451,"Restauración y Conservación de Bienes patrimoniales")</f>
        <v>0</v>
      </c>
      <c r="AC168" s="29">
        <f>COUNTIFS(   N4:N451,"2014", D4:D451,"Restauración y Conservación de Bienes patrimoniales")</f>
        <v>0</v>
      </c>
      <c r="AD168" s="5">
        <f>COUNTIFS(   N4:N451,"2015", D4:D451,"Restauración y Conservación de Bienes patrimoniales")</f>
        <v>0</v>
      </c>
      <c r="AE168" s="5">
        <f>COUNTIFS(   N4:N451,"2016", D4:D451,"Restauración y Conservación de Bienes patrimoniales")</f>
        <v>0</v>
      </c>
      <c r="AF168" s="5">
        <f>COUNTIFS(   N4:N451,"2017", D4:D451,"Restauración y Conservación de Bienes patrimoniales")</f>
        <v>1</v>
      </c>
      <c r="AG168" s="5">
        <f>COUNTIFS(   N4:N451,"2018", D4:D451,"Restauración y Conservación de Bienes patrimoniales")</f>
        <v>0</v>
      </c>
      <c r="AH168" s="5">
        <f>COUNTIFS(   D4:D451,"Restauración y Conservación de Bienes patrimoniales",G4:G451,"Sí")</f>
        <v>0</v>
      </c>
      <c r="AI168" s="5">
        <f>COUNTIFS(   D4:D451,"Restauración y Conservación de Bienes patrimoniales",G4:G451,"No")</f>
        <v>1</v>
      </c>
      <c r="AJ168" s="5">
        <f>SUMIFS( E4:E451, D4:D451,"Restauración y Conservación de Bienes patrimoniales",G4:G451,"Sí")</f>
        <v>0</v>
      </c>
      <c r="AK168" s="5">
        <f>SUMIFS( E4:E451, D4:D451,"Restauración y Conservación de Bienes patrimoniales",G4:G451,"No")</f>
        <v>1</v>
      </c>
      <c r="AL168" s="5">
        <f>COUNTIFS(   D4:D451,"Restauración y Conservación de Bienes patrimoniales",H4:H451,"Sí")</f>
        <v>1</v>
      </c>
      <c r="AM168" s="5">
        <f>COUNTIFS(   D4:D451,"Restauración y Conservación de Bienes patrimoniales",I4:I451,"Sí")</f>
        <v>0</v>
      </c>
      <c r="AN168" s="5">
        <f>COUNTIFS(   D4:D451,"Restauración y Conservación de Bienes patrimoniales",I4:I451,"No")</f>
        <v>1</v>
      </c>
      <c r="AO168" s="5">
        <f>SUMIFS( E4:E451, D4:D451,"Restauración y Conservación de Bienes patrimoniales",I4:I451,"Sí")</f>
        <v>0</v>
      </c>
      <c r="AP168" s="5">
        <f>SUMIFS( E4:E451, D4:D451,"Restauración y Conservación de Bienes patrimoniales",I4:I451,"No")</f>
        <v>1</v>
      </c>
      <c r="AQ168" s="5">
        <f>COUNTIFS(   D4:D451,"Restauración y Conservación de Bienes patrimoniales",J4:J451,"Sí")</f>
        <v>1</v>
      </c>
      <c r="AR168" s="5">
        <f>COUNTIFS(   D4:D451,"Restauración y Conservación de Bienes patrimoniales",K4:K451,"Sí")</f>
        <v>1</v>
      </c>
      <c r="AS168" s="5">
        <f>COUNTIFS(   D4:D451,"Restauración y Conservación de Bienes patrimoniales",L4:L451,"Sí")</f>
        <v>1</v>
      </c>
      <c r="AT168" s="5">
        <f>SUMIFS( E4:E451, D4:D451,"Restauración y Conservación de Bienes patrimoniales")</f>
        <v>1</v>
      </c>
      <c r="AU168" s="5">
        <f>SUMIFS( E4:E451, F4:F451,"Hombre", D4:D451,"Restauración y Conservación de Bienes patrimoniales")</f>
        <v>0</v>
      </c>
      <c r="AV168" s="5">
        <f>SUMIFS( E4:E451, F4:F451,"Mujer", D4:D451,"Restauración y Conservación de Bienes patrimoniales")</f>
        <v>1</v>
      </c>
      <c r="AW168" s="29">
        <f>SUMIFS( E4:E451, A4:A451,"2013", D4:D451,"Restauración y Conservación de Bienes patrimoniales")</f>
        <v>0</v>
      </c>
      <c r="AX168" s="5">
        <f>SUMIFS( E4:E451, A4:A451,"2014", D4:D451,"Restauración y Conservación de Bienes patrimoniales")</f>
        <v>0</v>
      </c>
      <c r="AY168" s="5">
        <f>SUMIFS( E4:E451, A4:A451,"2015", D4:D451,"Restauración y Conservación de Bienes patrimoniales")</f>
        <v>0</v>
      </c>
      <c r="AZ168" s="5">
        <f>SUMIFS( E4:E451, A4:A451,"2016", D4:D451,"Restauración y Conservación de Bienes patrimoniales")</f>
        <v>1</v>
      </c>
      <c r="BA168" s="5">
        <f>SUMIFS( E4:E451, A4:A451,"2017", D4:D451,"Restauración y Conservación de Bienes patrimoniales")</f>
        <v>0</v>
      </c>
      <c r="BB168" s="29">
        <f>SUMIFS( E4:E451, N4:N451,"2014", D4:D451,"Restauración y Conservación de Bienes patrimoniales")</f>
        <v>0</v>
      </c>
      <c r="BC168" s="5">
        <f>SUMIFS( E4:E451, N4:N451,"2015", D4:D451,"Restauración y Conservación de Bienes patrimoniales")</f>
        <v>0</v>
      </c>
      <c r="BD168" s="5">
        <f>SUMIFS( E4:E451, N4:N451,"2016", D4:D451,"Restauración y Conservación de Bienes patrimoniales")</f>
        <v>0</v>
      </c>
      <c r="BE168" s="5">
        <f>SUMIFS( E4:E451, N4:N451,"2017", D4:D451,"Restauración y Conservación de Bienes patrimoniales")</f>
        <v>1</v>
      </c>
      <c r="BF168" s="5">
        <f>SUMIFS( E4:E451, N4:N451,"2018", D4:D451,"Restauración y Conservación de Bienes patrimoniales")</f>
        <v>0</v>
      </c>
      <c r="BG168" s="23">
        <f>AVERAGEIFS( E4:E451, D4:D451,"Restauración y Conservación de Bienes patrimoniales")</f>
        <v>1</v>
      </c>
      <c r="BH168" s="23">
        <v>0</v>
      </c>
      <c r="BI168" s="23">
        <v>0</v>
      </c>
      <c r="BJ168" s="23">
        <v>0</v>
      </c>
      <c r="BK168" s="23">
        <f>AVERAGEIFS( E4:E451, A4:A451,"2016", D4:D451,"Restauración y Conservación de Bienes patrimoniales")</f>
        <v>1</v>
      </c>
      <c r="BL168" s="23">
        <v>0</v>
      </c>
      <c r="BM168" s="23">
        <v>1</v>
      </c>
      <c r="BN168" s="23">
        <v>0</v>
      </c>
      <c r="BO168" s="23">
        <v>0</v>
      </c>
      <c r="BP168" s="23">
        <v>0</v>
      </c>
      <c r="BQ168" s="23">
        <v>1</v>
      </c>
      <c r="BR168" s="23">
        <v>0</v>
      </c>
    </row>
    <row r="169" spans="1:70" ht="15" customHeight="1" x14ac:dyDescent="0.25">
      <c r="A169">
        <v>2016</v>
      </c>
      <c r="B169" s="14" t="s">
        <v>78</v>
      </c>
      <c r="C169" s="14" t="s">
        <v>79</v>
      </c>
      <c r="D169" s="14" t="s">
        <v>51</v>
      </c>
      <c r="E169">
        <v>7</v>
      </c>
      <c r="F169" t="s">
        <v>215</v>
      </c>
      <c r="G169" t="s">
        <v>233</v>
      </c>
      <c r="H169" t="s">
        <v>233</v>
      </c>
      <c r="I169" s="14" t="s">
        <v>233</v>
      </c>
      <c r="J169" s="14" t="s">
        <v>234</v>
      </c>
      <c r="K169" t="s">
        <v>234</v>
      </c>
      <c r="L169" s="14" t="s">
        <v>234</v>
      </c>
      <c r="M169" s="14">
        <v>42709</v>
      </c>
      <c r="N169" s="14" t="str">
        <f t="shared" si="2"/>
        <v>2016</v>
      </c>
      <c r="O169" s="64" t="s">
        <v>186</v>
      </c>
      <c r="P169" s="56"/>
      <c r="Q169" s="56"/>
      <c r="R169" s="56"/>
      <c r="S169" s="56"/>
      <c r="T169" s="57"/>
      <c r="U169" s="5">
        <f>COUNTIFS(   D4:D451,"Sociedades y Culturas Americanas")</f>
        <v>6</v>
      </c>
      <c r="V169" s="5">
        <f>COUNTIFS(   D4:D451,"Sociedades y Culturas Americanas",F4:F451,"Hombre")</f>
        <v>3</v>
      </c>
      <c r="W169" s="5">
        <f>COUNTIFS(   D4:D451,"Sociedades y Culturas Americanas",F4:F451,"Mujer")</f>
        <v>3</v>
      </c>
      <c r="X169" s="29">
        <f>COUNTIFS(   A4:A451,"2013", D4:D451,"Sociedades y Culturas Americanas")</f>
        <v>0</v>
      </c>
      <c r="Y169" s="5">
        <f>COUNTIFS(   A4:A451,"2014", D4:D451,"Sociedades y Culturas Americanas")</f>
        <v>0</v>
      </c>
      <c r="Z169" s="5">
        <f>COUNTIFS(   A4:A451,"2015", D4:D451,"Sociedades y Culturas Americanas")</f>
        <v>0</v>
      </c>
      <c r="AA169" s="5">
        <f>COUNTIFS(   A4:A451,"2016", D4:D451,"Sociedades y Culturas Americanas")</f>
        <v>2</v>
      </c>
      <c r="AB169" s="5">
        <f>COUNTIFS(   A4:A451,"2017", D4:D451,"Sociedades y Culturas Americanas")</f>
        <v>4</v>
      </c>
      <c r="AC169" s="29">
        <f>COUNTIFS(   N4:N451,"2014", D4:D451,"Sociedades y Culturas Americanas")</f>
        <v>0</v>
      </c>
      <c r="AD169" s="5">
        <f>COUNTIFS(   N4:N451,"2015", D4:D451,"Sociedades y Culturas Americanas")</f>
        <v>0</v>
      </c>
      <c r="AE169" s="5">
        <f>COUNTIFS(   N4:N451,"2016", D4:D451,"Sociedades y Culturas Americanas")</f>
        <v>0</v>
      </c>
      <c r="AF169" s="5">
        <f>COUNTIFS(   N4:N451,"2017", D4:D451,"Sociedades y Culturas Americanas")</f>
        <v>4</v>
      </c>
      <c r="AG169" s="5">
        <f>COUNTIFS(   N4:N451,"2018", D4:D451,"Sociedades y Culturas Americanas")</f>
        <v>2</v>
      </c>
      <c r="AH169" s="5">
        <f>COUNTIFS(   D4:D451,"Sociedades y Culturas Americanas",G4:G451,"Sí")</f>
        <v>0</v>
      </c>
      <c r="AI169" s="5">
        <f>COUNTIFS(   D4:D451,"Sociedades y Culturas Americanas",G4:G451,"No")</f>
        <v>6</v>
      </c>
      <c r="AJ169" s="5">
        <f>SUMIFS( E4:E451, D4:D451,"Sociedades y Culturas Americanas",G4:G451,"Sí")</f>
        <v>0</v>
      </c>
      <c r="AK169" s="5">
        <f>SUMIFS( E4:E451, D4:D451,"Sociedades y Culturas Americanas",G4:G451,"No")</f>
        <v>5</v>
      </c>
      <c r="AL169" s="5">
        <f>COUNTIFS(   D4:D451,"Sociedades y Culturas Americanas",H4:H451,"Sí")</f>
        <v>0</v>
      </c>
      <c r="AM169" s="5">
        <f>COUNTIFS(   D4:D451,"Sociedades y Culturas Americanas",I4:I451,"Sí")</f>
        <v>0</v>
      </c>
      <c r="AN169" s="5">
        <f>COUNTIFS(   D4:D451,"Sociedades y Culturas Americanas",I4:I451,"No")</f>
        <v>6</v>
      </c>
      <c r="AO169" s="5">
        <f>SUMIFS( E4:E451, D4:D451,"Sociedades y Culturas Americanas",I4:I451,"Sí")</f>
        <v>0</v>
      </c>
      <c r="AP169" s="5">
        <f>SUMIFS( E4:E451, D4:D451,"Sociedades y Culturas Americanas",I4:I451,"No")</f>
        <v>5</v>
      </c>
      <c r="AQ169" s="5">
        <f>COUNTIFS(   D4:D451,"Sociedades y Culturas Americanas",J4:J451,"Sí")</f>
        <v>4</v>
      </c>
      <c r="AR169" s="5">
        <f>COUNTIFS(   D4:D451,"Sociedades y Culturas Americanas",K4:K451,"Sí")</f>
        <v>4</v>
      </c>
      <c r="AS169" s="5">
        <f>COUNTIFS(   D4:D451,"Sociedades y Culturas Americanas",L4:L451,"Sí")</f>
        <v>6</v>
      </c>
      <c r="AT169" s="5">
        <f>SUMIFS( E4:E451, D4:D451,"Sociedades y Culturas Americanas")</f>
        <v>5</v>
      </c>
      <c r="AU169" s="5">
        <f>SUMIFS( E4:E451, F4:F451,"Hombre", D4:D451,"Sociedades y Culturas Americanas")</f>
        <v>1</v>
      </c>
      <c r="AV169" s="5">
        <f>SUMIFS( E4:E451, F4:F451,"Mujer", D4:D451,"Sociedades y Culturas Americanas")</f>
        <v>4</v>
      </c>
      <c r="AW169" s="29">
        <f>SUMIFS( E4:E451, A4:A451,"2013", D4:D451,"Sociedades y Culturas Americanas")</f>
        <v>0</v>
      </c>
      <c r="AX169" s="5">
        <f>SUMIFS( E4:E451, A4:A451,"2014", D4:D451,"Sociedades y Culturas Americanas")</f>
        <v>0</v>
      </c>
      <c r="AY169" s="5">
        <f>SUMIFS( E4:E451, A4:A451,"2015", D4:D451,"Sociedades y Culturas Americanas")</f>
        <v>0</v>
      </c>
      <c r="AZ169" s="5">
        <f>SUMIFS( E4:E451, A4:A451,"2016", D4:D451,"Sociedades y Culturas Americanas")</f>
        <v>2</v>
      </c>
      <c r="BA169" s="5">
        <f>SUMIFS( E4:E451, A4:A451,"2017", D4:D451,"Sociedades y Culturas Americanas")</f>
        <v>3</v>
      </c>
      <c r="BB169" s="29">
        <f>SUMIFS( E4:E451, N4:N451,"2014", D4:D451,"Sociedades y Culturas Americanas")</f>
        <v>0</v>
      </c>
      <c r="BC169" s="5">
        <f>SUMIFS( E4:E451, N4:N451,"2015", D4:D451,"Sociedades y Culturas Americanas")</f>
        <v>0</v>
      </c>
      <c r="BD169" s="5">
        <f>SUMIFS( E4:E451, N4:N451,"2016", D4:D451,"Sociedades y Culturas Americanas")</f>
        <v>0</v>
      </c>
      <c r="BE169" s="5">
        <f>SUMIFS( E4:E451, N4:N451,"2017", D4:D451,"Sociedades y Culturas Americanas")</f>
        <v>3</v>
      </c>
      <c r="BF169" s="5">
        <f>SUMIFS( E4:E451, N4:N451,"2018", D4:D451,"Sociedades y Culturas Americanas")</f>
        <v>2</v>
      </c>
      <c r="BG169" s="23">
        <f>AVERAGEIFS( E4:E451, D4:D451,"Sociedades y Culturas Americanas")</f>
        <v>0.83333333333333337</v>
      </c>
      <c r="BH169" s="23">
        <v>0</v>
      </c>
      <c r="BI169" s="23">
        <v>0</v>
      </c>
      <c r="BJ169" s="23">
        <v>0</v>
      </c>
      <c r="BK169" s="23">
        <f>AVERAGEIFS( E4:E451, A4:A451,"2016", D4:D451,"Sociedades y Culturas Americanas")</f>
        <v>1</v>
      </c>
      <c r="BL169" s="23">
        <f>AVERAGEIFS( E4:E451, A4:A451,"2017", D4:D451,"Sociedades y Culturas Americanas")</f>
        <v>0.75</v>
      </c>
      <c r="BM169" s="23">
        <v>0.83333333333333337</v>
      </c>
      <c r="BN169" s="23">
        <v>0</v>
      </c>
      <c r="BO169" s="23">
        <v>0</v>
      </c>
      <c r="BP169" s="23">
        <v>0</v>
      </c>
      <c r="BQ169" s="23">
        <v>1</v>
      </c>
      <c r="BR169" s="23">
        <v>0.75</v>
      </c>
    </row>
    <row r="170" spans="1:70" ht="15" customHeight="1" x14ac:dyDescent="0.25">
      <c r="A170">
        <v>2016</v>
      </c>
      <c r="B170" s="14" t="s">
        <v>78</v>
      </c>
      <c r="C170" s="14" t="s">
        <v>79</v>
      </c>
      <c r="D170" s="14" t="s">
        <v>58</v>
      </c>
      <c r="E170">
        <v>4</v>
      </c>
      <c r="F170" t="s">
        <v>215</v>
      </c>
      <c r="G170" t="s">
        <v>233</v>
      </c>
      <c r="H170" t="s">
        <v>233</v>
      </c>
      <c r="I170" s="14" t="s">
        <v>233</v>
      </c>
      <c r="J170" s="14" t="s">
        <v>234</v>
      </c>
      <c r="K170" s="14" t="s">
        <v>233</v>
      </c>
      <c r="L170" s="14" t="s">
        <v>234</v>
      </c>
      <c r="M170" s="14">
        <v>42678</v>
      </c>
      <c r="N170" s="14" t="str">
        <f t="shared" si="2"/>
        <v>2016</v>
      </c>
      <c r="O170" s="64" t="s">
        <v>185</v>
      </c>
      <c r="P170" s="56"/>
      <c r="Q170" s="56"/>
      <c r="R170" s="56"/>
      <c r="S170" s="56"/>
      <c r="T170" s="57"/>
      <c r="U170" s="5">
        <f>COUNTIFS(   D4:D451,"Territorio, Patrimonio y Medio Ambiente")</f>
        <v>4</v>
      </c>
      <c r="V170" s="5">
        <f>COUNTIFS(   D4:D451,"Territorio, Patrimonio y Medio Ambiente",F4:F451,"Hombre")</f>
        <v>4</v>
      </c>
      <c r="W170" s="5">
        <f>COUNTIFS(   D4:D451,"Territorio, Patrimonio y Medio Ambiente",F4:F451,"Mujer")</f>
        <v>0</v>
      </c>
      <c r="X170" s="29">
        <f>COUNTIFS(   A4:A451,"2013", D4:D451,"Territorio, Patrimonio y Medio Ambiente")</f>
        <v>0</v>
      </c>
      <c r="Y170" s="5">
        <f>COUNTIFS(   A4:A451,"2014", D4:D451,"Territorio, Patrimonio y Medio Ambiente")</f>
        <v>0</v>
      </c>
      <c r="Z170" s="5">
        <f>COUNTIFS(   A4:A451,"2015", D4:D451,"Territorio, Patrimonio y Medio Ambiente")</f>
        <v>0</v>
      </c>
      <c r="AA170" s="5">
        <f>COUNTIFS(   A4:A451,"2016", D4:D451,"Territorio, Patrimonio y Medio Ambiente")</f>
        <v>1</v>
      </c>
      <c r="AB170" s="5">
        <f>COUNTIFS(   A4:A451,"2017", D4:D451,"Territorio, Patrimonio y Medio Ambiente")</f>
        <v>3</v>
      </c>
      <c r="AC170" s="29">
        <f>COUNTIFS(   N4:N451,"2014", D4:D451,"Territorio, Patrimonio y Medio Ambiente")</f>
        <v>0</v>
      </c>
      <c r="AD170" s="5">
        <f>COUNTIFS(   N4:N451,"2015", D4:D451,"Territorio, Patrimonio y Medio Ambiente")</f>
        <v>0</v>
      </c>
      <c r="AE170" s="5">
        <f>COUNTIFS(   N4:N451,"2016", D4:D451,"Territorio, Patrimonio y Medio Ambiente")</f>
        <v>0</v>
      </c>
      <c r="AF170" s="5">
        <f>COUNTIFS(   N4:N451,"2017", D4:D451,"Territorio, Patrimonio y Medio Ambiente")</f>
        <v>3</v>
      </c>
      <c r="AG170" s="5">
        <f>COUNTIFS(   N4:N451,"2018", D4:D451,"Territorio, Patrimonio y Medio Ambiente")</f>
        <v>1</v>
      </c>
      <c r="AH170" s="5">
        <f>COUNTIFS(   D4:D451,"Territorio, Patrimonio y Medio Ambiente",G4:G451,"Sí")</f>
        <v>0</v>
      </c>
      <c r="AI170" s="5">
        <f>COUNTIFS(   D4:D451,"Territorio, Patrimonio y Medio Ambiente",G4:G451,"No")</f>
        <v>4</v>
      </c>
      <c r="AJ170" s="5">
        <f>SUMIFS( E4:E451, D4:D451,"Territorio, Patrimonio y Medio Ambiente",G4:G451,"Sí")</f>
        <v>0</v>
      </c>
      <c r="AK170" s="5">
        <f>SUMIFS( E4:E451, D4:D451,"Territorio, Patrimonio y Medio Ambiente",G4:G451,"No")</f>
        <v>16</v>
      </c>
      <c r="AL170" s="5">
        <f>COUNTIFS(   D4:D451,"Territorio, Patrimonio y Medio Ambiente",H4:H451,"Sí")</f>
        <v>2</v>
      </c>
      <c r="AM170" s="5">
        <f>COUNTIFS(   D4:D451,"Territorio, Patrimonio y Medio Ambiente",I4:I451,"Sí")</f>
        <v>0</v>
      </c>
      <c r="AN170" s="5">
        <f>COUNTIFS(   D4:D451,"Territorio, Patrimonio y Medio Ambiente",I4:I451,"No")</f>
        <v>4</v>
      </c>
      <c r="AO170" s="5">
        <f>SUMIFS( E4:E451, D4:D451,"Territorio, Patrimonio y Medio Ambiente",I4:I451,"Sí")</f>
        <v>0</v>
      </c>
      <c r="AP170" s="5">
        <f>SUMIFS( E4:E451, D4:D451,"Territorio, Patrimonio y Medio Ambiente",I4:I451,"No")</f>
        <v>16</v>
      </c>
      <c r="AQ170" s="5">
        <f>COUNTIFS(   D4:D451,"Territorio, Patrimonio y Medio Ambiente",J4:J451,"Sí")</f>
        <v>3</v>
      </c>
      <c r="AR170" s="5">
        <f>COUNTIFS(   D4:D451,"Territorio, Patrimonio y Medio Ambiente",K4:K451,"Sí")</f>
        <v>1</v>
      </c>
      <c r="AS170" s="5">
        <f>COUNTIFS(   D4:D451,"Territorio, Patrimonio y Medio Ambiente",L4:L451,"Sí")</f>
        <v>4</v>
      </c>
      <c r="AT170" s="5">
        <f>SUMIFS( E4:E451, D4:D451,"Territorio, Patrimonio y Medio Ambiente")</f>
        <v>16</v>
      </c>
      <c r="AU170" s="5">
        <f>SUMIFS( E4:E451, F4:F451,"Hombre", D4:D451,"Territorio, Patrimonio y Medio Ambiente")</f>
        <v>16</v>
      </c>
      <c r="AV170" s="5">
        <f>SUMIFS( E4:E451, F4:F451,"Mujer", D4:D451,"Territorio, Patrimonio y Medio Ambiente")</f>
        <v>0</v>
      </c>
      <c r="AW170" s="29">
        <f>SUMIFS( E4:E451, A4:A451,"2013", D4:D451,"Territorio, Patrimonio y Medio Ambiente")</f>
        <v>0</v>
      </c>
      <c r="AX170" s="5">
        <f>SUMIFS( E4:E451, A4:A451,"2014", D4:D451,"Territorio, Patrimonio y Medio Ambiente")</f>
        <v>0</v>
      </c>
      <c r="AY170" s="5">
        <f>SUMIFS( E4:E451, A4:A451,"2015", D4:D451,"Territorio, Patrimonio y Medio Ambiente")</f>
        <v>0</v>
      </c>
      <c r="AZ170" s="5">
        <f>SUMIFS( E4:E451, A4:A451,"2016", D4:D451,"Territorio, Patrimonio y Medio Ambiente")</f>
        <v>2</v>
      </c>
      <c r="BA170" s="5">
        <f>SUMIFS( E4:E451, A4:A451,"2017", D4:D451,"Territorio, Patrimonio y Medio Ambiente")</f>
        <v>14</v>
      </c>
      <c r="BB170" s="29">
        <f>SUMIFS( E4:E451, N4:N451,"2014", D4:D451,"Territorio, Patrimonio y Medio Ambiente")</f>
        <v>0</v>
      </c>
      <c r="BC170" s="5">
        <f>SUMIFS( E4:E451, N4:N451,"2015", D4:D451,"Territorio, Patrimonio y Medio Ambiente")</f>
        <v>0</v>
      </c>
      <c r="BD170" s="5">
        <f>SUMIFS( E4:E451, N4:N451,"2016", D4:D451,"Territorio, Patrimonio y Medio Ambiente")</f>
        <v>0</v>
      </c>
      <c r="BE170" s="5">
        <f>SUMIFS( E4:E451, N4:N451,"2017", D4:D451,"Territorio, Patrimonio y Medio Ambiente")</f>
        <v>10</v>
      </c>
      <c r="BF170" s="5">
        <f>SUMIFS( E4:E451, N4:N451,"2018", D4:D451,"Territorio, Patrimonio y Medio Ambiente")</f>
        <v>6</v>
      </c>
      <c r="BG170" s="23">
        <f>AVERAGEIFS( E4:E451, D4:D451,"Territorio, Patrimonio y Medio Ambiente")</f>
        <v>4</v>
      </c>
      <c r="BH170" s="23">
        <v>0</v>
      </c>
      <c r="BI170" s="23">
        <v>0</v>
      </c>
      <c r="BJ170" s="23">
        <v>0</v>
      </c>
      <c r="BK170" s="23">
        <f>AVERAGEIFS( E4:E451, A4:A451,"2016", D4:D451,"Territorio, Patrimonio y Medio Ambiente")</f>
        <v>2</v>
      </c>
      <c r="BL170" s="23">
        <f>AVERAGEIFS( E4:E451, A4:A451,"2017", D4:D451,"Territorio, Patrimonio y Medio Ambiente")</f>
        <v>4.666666666666667</v>
      </c>
      <c r="BM170" s="23">
        <v>4</v>
      </c>
      <c r="BN170" s="23">
        <v>0</v>
      </c>
      <c r="BO170" s="23">
        <v>0</v>
      </c>
      <c r="BP170" s="23">
        <v>0</v>
      </c>
      <c r="BQ170" s="23">
        <v>2</v>
      </c>
      <c r="BR170" s="23">
        <v>4.666666666666667</v>
      </c>
    </row>
    <row r="171" spans="1:70" ht="15" customHeight="1" x14ac:dyDescent="0.25">
      <c r="A171">
        <v>2015</v>
      </c>
      <c r="B171" s="14" t="s">
        <v>78</v>
      </c>
      <c r="C171" s="14" t="s">
        <v>79</v>
      </c>
      <c r="D171" s="14" t="s">
        <v>55</v>
      </c>
      <c r="E171">
        <v>8</v>
      </c>
      <c r="F171" t="s">
        <v>215</v>
      </c>
      <c r="G171" t="s">
        <v>233</v>
      </c>
      <c r="H171" t="s">
        <v>233</v>
      </c>
      <c r="I171" s="14" t="s">
        <v>234</v>
      </c>
      <c r="J171" s="14" t="s">
        <v>234</v>
      </c>
      <c r="K171" s="14" t="s">
        <v>233</v>
      </c>
      <c r="L171" s="14" t="s">
        <v>234</v>
      </c>
      <c r="M171" s="14">
        <v>42531</v>
      </c>
      <c r="N171" s="14" t="str">
        <f t="shared" si="2"/>
        <v>2016</v>
      </c>
      <c r="O171" s="6" t="s">
        <v>77</v>
      </c>
      <c r="P171" s="12"/>
      <c r="Q171" s="12"/>
      <c r="R171" s="12"/>
      <c r="S171" s="12"/>
      <c r="T171" s="13"/>
      <c r="U171" s="4">
        <f>COUNTIFS(   C4:C451,"Lenguas, Textos y Contextos")</f>
        <v>20</v>
      </c>
      <c r="V171" s="4">
        <f>COUNTIFS(   C4:C451,"Lenguas, Textos y Contextos",F4:F451,"Hombre")</f>
        <v>7</v>
      </c>
      <c r="W171" s="4">
        <f>COUNTIFS(   C4:C451,"Lenguas, Textos y Contextos",F4:F451,"Mujer")</f>
        <v>13</v>
      </c>
      <c r="X171" s="28">
        <f>COUNTIFS(   A4:A451,"2013", C4:C451,"Lenguas, Textos y Contextos")</f>
        <v>0</v>
      </c>
      <c r="Y171" s="4">
        <f>COUNTIFS(   A4:A451,"2014", C4:C451,"Lenguas, Textos y Contextos")</f>
        <v>0</v>
      </c>
      <c r="Z171" s="4">
        <f>COUNTIFS(   A4:A451,"2015", C4:C451,"Lenguas, Textos y Contextos")</f>
        <v>2</v>
      </c>
      <c r="AA171" s="4">
        <f>COUNTIFS(   A4:A451,"2016", C4:C451,"Lenguas, Textos y Contextos")</f>
        <v>9</v>
      </c>
      <c r="AB171" s="4">
        <f>COUNTIFS(   A4:A451,"2017", C4:C451,"Lenguas, Textos y Contextos")</f>
        <v>9</v>
      </c>
      <c r="AC171" s="28">
        <f>COUNTIFS(   N4:N451,"2014", C4:C451,"Lenguas, Textos y Contextos")</f>
        <v>0</v>
      </c>
      <c r="AD171" s="4">
        <f>COUNTIFS(   N4:N451,"2015", C4:C451,"Lenguas, Textos y Contextos")</f>
        <v>0</v>
      </c>
      <c r="AE171" s="4">
        <f>COUNTIFS(   N4:N451,"2016", C4:C451,"Lenguas, Textos y Contextos")</f>
        <v>5</v>
      </c>
      <c r="AF171" s="4">
        <f>COUNTIFS(   N4:N451,"2017", C4:C451,"Lenguas, Textos y Contextos")</f>
        <v>10</v>
      </c>
      <c r="AG171" s="4">
        <f>COUNTIFS(   N4:N451,"2018", C4:C451,"Lenguas, Textos y Contextos")</f>
        <v>5</v>
      </c>
      <c r="AH171" s="4">
        <f>COUNTIFS(   C4:C451,"Lenguas, Textos y Contextos",G4:G451,"Sí")</f>
        <v>1</v>
      </c>
      <c r="AI171" s="4">
        <f>COUNTIFS(   C4:C451,"Lenguas, Textos y Contextos",G4:G451,"No")</f>
        <v>19</v>
      </c>
      <c r="AJ171" s="4">
        <f>SUMIFS( E4:E451, C4:C451,"Lenguas, Textos y Contextos",G4:G451,"Sí")</f>
        <v>1</v>
      </c>
      <c r="AK171" s="4">
        <f>SUMIFS( E4:E451, C4:C451,"Lenguas, Textos y Contextos",G4:G451,"No")</f>
        <v>19</v>
      </c>
      <c r="AL171" s="4">
        <f>COUNTIFS(   C4:C451,"Lenguas, Textos y Contextos",H4:H451,"Sí")</f>
        <v>0</v>
      </c>
      <c r="AM171" s="4">
        <f>COUNTIFS(   C4:C451,"Lenguas, Textos y Contextos",I4:I451,"Sí")</f>
        <v>8</v>
      </c>
      <c r="AN171" s="4">
        <f>COUNTIFS(   C4:C451,"Lenguas, Textos y Contextos",I4:I451,"No")</f>
        <v>12</v>
      </c>
      <c r="AO171" s="4">
        <f>SUMIFS( E4:E451, C4:C451,"Lenguas, Textos y Contextos",I4:I451,"Sí")</f>
        <v>11</v>
      </c>
      <c r="AP171" s="4">
        <f>SUMIFS( E4:E451, C4:C451,"Lenguas, Textos y Contextos",I4:I451,"No")</f>
        <v>9</v>
      </c>
      <c r="AQ171" s="4">
        <f>COUNTIFS(   C4:C451,"Lenguas, Textos y Contextos",J4:J451,"Sí")</f>
        <v>15</v>
      </c>
      <c r="AR171" s="4">
        <f>COUNTIFS(   C4:C451,"Lenguas, Textos y Contextos",K4:K451,"Sí")</f>
        <v>8</v>
      </c>
      <c r="AS171" s="4">
        <f>COUNTIFS(   C4:C451,"Lenguas, Textos y Contextos",L4:L451,"Sí")</f>
        <v>19</v>
      </c>
      <c r="AT171" s="4">
        <f>SUMIFS( E4:E451, C4:C451,"Lenguas, Textos y Contextos")</f>
        <v>20</v>
      </c>
      <c r="AU171" s="4">
        <f>SUMIFS( E4:E451, F4:F451,"Hombre", C4:C451,"Lenguas, Textos y Contextos")</f>
        <v>11</v>
      </c>
      <c r="AV171" s="4">
        <f>SUMIFS( E4:E451, F4:F451,"Mujer", C4:C451,"Lenguas, Textos y Contextos")</f>
        <v>9</v>
      </c>
      <c r="AW171" s="28">
        <f>SUMIFS( E4:E451, A4:A451,"2013", C4:C451,"Lenguas, Textos y Contextos")</f>
        <v>0</v>
      </c>
      <c r="AX171" s="4">
        <f>SUMIFS( E4:E451, A4:A451,"2014", C4:C451,"Lenguas, Textos y Contextos")</f>
        <v>0</v>
      </c>
      <c r="AY171" s="4">
        <f>SUMIFS( E4:E451, A4:A451,"2015", C4:C451,"Lenguas, Textos y Contextos")</f>
        <v>8</v>
      </c>
      <c r="AZ171" s="4">
        <f>SUMIFS( E4:E451, A4:A451,"2016", C4:C451,"Lenguas, Textos y Contextos")</f>
        <v>7</v>
      </c>
      <c r="BA171" s="4">
        <f>SUMIFS( E4:E451, A4:A451,"2017", C4:C451,"Lenguas, Textos y Contextos")</f>
        <v>5</v>
      </c>
      <c r="BB171" s="28">
        <f>SUMIFS( E4:E451, N4:N451,"2014", C4:C451,"Lenguas, Textos y Contextos")</f>
        <v>0</v>
      </c>
      <c r="BC171" s="4">
        <f>SUMIFS( E4:E451, N4:N451,"2015", C4:C451,"Lenguas, Textos y Contextos")</f>
        <v>0</v>
      </c>
      <c r="BD171" s="4">
        <f>SUMIFS( E4:E451, N4:N451,"2016", C4:C451,"Lenguas, Textos y Contextos")</f>
        <v>11</v>
      </c>
      <c r="BE171" s="4">
        <f>SUMIFS( E4:E451, N4:N451,"2017", C4:C451,"Lenguas, Textos y Contextos")</f>
        <v>4</v>
      </c>
      <c r="BF171" s="4">
        <f>SUMIFS( E4:E451, N4:N451,"2018", C4:C451,"Lenguas, Textos y Contextos")</f>
        <v>5</v>
      </c>
      <c r="BG171" s="22">
        <f>AVERAGEIFS( E4:E451, C4:C451,"Lenguas, Textos y Contextos")</f>
        <v>1</v>
      </c>
      <c r="BH171" s="22">
        <v>0</v>
      </c>
      <c r="BI171" s="22">
        <v>0</v>
      </c>
      <c r="BJ171" s="22">
        <f>AVERAGEIFS( E4:E451, A4:A451,"2015", C4:C451,"Lenguas, Textos y Contextos")</f>
        <v>4</v>
      </c>
      <c r="BK171" s="22">
        <f>AVERAGEIFS( E4:E451, A4:A451,"2016", C4:C451,"Lenguas, Textos y Contextos")</f>
        <v>0.77777777777777779</v>
      </c>
      <c r="BL171" s="22">
        <f>AVERAGEIFS( E4:E451, A4:A451,"2017", C4:C451,"Lenguas, Textos y Contextos")</f>
        <v>0.55555555555555558</v>
      </c>
      <c r="BM171" s="22">
        <f>AVERAGE(AT172:AT180)</f>
        <v>2.2222222222222223</v>
      </c>
      <c r="BN171" s="22">
        <v>0</v>
      </c>
      <c r="BO171" s="22">
        <v>0</v>
      </c>
      <c r="BP171" s="22">
        <f>AVERAGE(AY172:AY180)</f>
        <v>0.88888888888888884</v>
      </c>
      <c r="BQ171" s="22">
        <f>AVERAGE(AZ172:AZ180)</f>
        <v>0.77777777777777779</v>
      </c>
      <c r="BR171" s="22">
        <f t="shared" ref="BR171" si="4">AVERAGE(BA172:BA180)</f>
        <v>0.55555555555555558</v>
      </c>
    </row>
    <row r="172" spans="1:70" ht="15" customHeight="1" x14ac:dyDescent="0.25">
      <c r="A172">
        <v>2015</v>
      </c>
      <c r="B172" s="14" t="s">
        <v>78</v>
      </c>
      <c r="C172" s="14" t="s">
        <v>79</v>
      </c>
      <c r="D172" s="14" t="s">
        <v>58</v>
      </c>
      <c r="E172">
        <v>14</v>
      </c>
      <c r="F172" t="s">
        <v>211</v>
      </c>
      <c r="G172" t="s">
        <v>233</v>
      </c>
      <c r="H172" t="s">
        <v>233</v>
      </c>
      <c r="I172" s="14" t="s">
        <v>234</v>
      </c>
      <c r="J172" s="14" t="s">
        <v>234</v>
      </c>
      <c r="K172" s="14" t="s">
        <v>233</v>
      </c>
      <c r="L172" s="14" t="s">
        <v>234</v>
      </c>
      <c r="M172" s="14">
        <v>42433</v>
      </c>
      <c r="N172" s="14" t="str">
        <f t="shared" si="2"/>
        <v>2016</v>
      </c>
      <c r="O172" s="64" t="s">
        <v>200</v>
      </c>
      <c r="P172" s="56"/>
      <c r="Q172" s="56"/>
      <c r="R172" s="56"/>
      <c r="S172" s="56"/>
      <c r="T172" s="57"/>
      <c r="U172" s="5">
        <f>COUNTIFS(   D4:D451,"Estudios árabes e islámicos")</f>
        <v>1</v>
      </c>
      <c r="V172" s="5">
        <f>COUNTIFS(   D4:D451,"Estudios árabes e islámicos",F4:F451,"Hombre")</f>
        <v>1</v>
      </c>
      <c r="W172" s="5">
        <f>COUNTIFS(   D4:D451,"Estudios árabes e islámicos",F4:F451,"Mujer")</f>
        <v>0</v>
      </c>
      <c r="X172" s="29">
        <f>COUNTIFS(   A4:A451,"2013", D4:D451,"Estudios árabes e islámicos")</f>
        <v>0</v>
      </c>
      <c r="Y172" s="5">
        <f>COUNTIFS(   A4:A451,"2014", D4:D451,"Estudios árabes e islámicos")</f>
        <v>0</v>
      </c>
      <c r="Z172" s="5">
        <f>COUNTIFS(   A4:A451,"2015", D4:D451,"Estudios árabes e islámicos")</f>
        <v>0</v>
      </c>
      <c r="AA172" s="5">
        <f>COUNTIFS(   A4:A451,"2016", D4:D451,"Estudios árabes e islámicos")</f>
        <v>1</v>
      </c>
      <c r="AB172" s="5">
        <f>COUNTIFS(   A4:A451,"2017", D4:D451,"Estudios árabes e islámicos")</f>
        <v>0</v>
      </c>
      <c r="AC172" s="29">
        <f>COUNTIFS(   N4:N451,"2014", D4:D451,"Estudios árabes e islámicos")</f>
        <v>0</v>
      </c>
      <c r="AD172" s="5">
        <f>COUNTIFS(   N4:N451,"2015", D4:D451,"Estudios árabes e islámicos")</f>
        <v>0</v>
      </c>
      <c r="AE172" s="5">
        <f>COUNTIFS(   N4:N451,"2016", D4:D451,"Estudios árabes e islámicos")</f>
        <v>0</v>
      </c>
      <c r="AF172" s="5">
        <f>COUNTIFS(   N4:N451,"2017", D4:D451,"Estudios árabes e islámicos")</f>
        <v>1</v>
      </c>
      <c r="AG172" s="5">
        <f>COUNTIFS(   N4:N451,"2018", D4:D451,"Estudios árabes e islámicos")</f>
        <v>0</v>
      </c>
      <c r="AH172" s="5">
        <f>COUNTIFS(   D4:D451,"Estudios árabes e islámicos",G4:G451,"Sí")</f>
        <v>0</v>
      </c>
      <c r="AI172" s="5">
        <f>COUNTIFS(   D4:D451,"Estudios árabes e islámicos",G4:G451,"No")</f>
        <v>1</v>
      </c>
      <c r="AJ172" s="5">
        <f>SUMIFS( E4:E451, D4:D451,"Estudios árabes e islámicos",G4:G451,"Sí")</f>
        <v>0</v>
      </c>
      <c r="AK172" s="5">
        <f>SUMIFS( E4:E451, D4:D451,"Estudios árabes e islámicos",G4:G451,"No")</f>
        <v>1</v>
      </c>
      <c r="AL172" s="5">
        <f>COUNTIFS(   D4:D451,"Estudios árabes e islámicos",H4:H451,"Sí")</f>
        <v>0</v>
      </c>
      <c r="AM172" s="5">
        <f>COUNTIFS(   D4:D451,"Estudios árabes e islámicos",I4:I451,"Sí")</f>
        <v>0</v>
      </c>
      <c r="AN172" s="5">
        <f>COUNTIFS(   D4:D451,"Estudios árabes e islámicos",I4:I451,"No")</f>
        <v>1</v>
      </c>
      <c r="AO172" s="5">
        <f>SUMIFS( E4:E451, D4:D451,"Estudios árabes e islámicos",I4:I451,"Sí")</f>
        <v>0</v>
      </c>
      <c r="AP172" s="5">
        <f>SUMIFS( E4:E451, D4:D451,"Estudios árabes e islámicos",I4:I451,"No")</f>
        <v>1</v>
      </c>
      <c r="AQ172" s="5">
        <f>COUNTIFS(   D4:D451,"Estudios árabes e islámicos",J4:J451,"Sí")</f>
        <v>0</v>
      </c>
      <c r="AR172" s="5">
        <f>COUNTIFS(   D4:D451,"Estudios árabes e islámicos",K4:K451,"Sí")</f>
        <v>1</v>
      </c>
      <c r="AS172" s="5">
        <f>COUNTIFS(   D4:D451,"Estudios árabes e islámicos",L4:L451,"Sí")</f>
        <v>1</v>
      </c>
      <c r="AT172" s="5">
        <f>SUMIFS( E4:E451, D4:D451,"Estudios árabes e islámicos")</f>
        <v>1</v>
      </c>
      <c r="AU172" s="5">
        <f>SUMIFS( E4:E451, F4:F451,"Hombre", D4:D451,"Estudios árabes e islámicos")</f>
        <v>1</v>
      </c>
      <c r="AV172" s="5">
        <f>SUMIFS( E4:E451, F4:F451,"Mujer", D4:D451,"Estudios árabes e islámicos")</f>
        <v>0</v>
      </c>
      <c r="AW172" s="29">
        <f>SUMIFS( E4:E451, A4:A451,"2013", D4:D451,"Estudios árabes e islámicos")</f>
        <v>0</v>
      </c>
      <c r="AX172" s="5">
        <f>SUMIFS( E4:E451, A4:A451,"2014", D4:D451,"Estudios árabes e islámicos")</f>
        <v>0</v>
      </c>
      <c r="AY172" s="5">
        <f>SUMIFS( E4:E451, A4:A451,"2015", D4:D451,"Estudios árabes e islámicos")</f>
        <v>0</v>
      </c>
      <c r="AZ172" s="5">
        <f>SUMIFS( E4:E451, A4:A451,"2016", D4:D451,"Estudios árabes e islámicos")</f>
        <v>1</v>
      </c>
      <c r="BA172" s="5">
        <f>SUMIFS( E4:E451, A4:A451,"2017", D4:D451,"Estudios árabes e islámicos")</f>
        <v>0</v>
      </c>
      <c r="BB172" s="29">
        <f>SUMIFS( E4:E451, N4:N451,"2014", D4:D451,"Estudios árabes e islámicos")</f>
        <v>0</v>
      </c>
      <c r="BC172" s="5">
        <f>SUMIFS( E4:E451, N4:N451,"2015", D4:D451,"Estudios árabes e islámicos")</f>
        <v>0</v>
      </c>
      <c r="BD172" s="5">
        <f>SUMIFS( E4:E451, N4:N451,"2016", D4:D451,"Estudios árabes e islámicos")</f>
        <v>0</v>
      </c>
      <c r="BE172" s="5">
        <f>SUMIFS( E4:E451, N4:N451,"2017", D4:D451,"Estudios árabes e islámicos")</f>
        <v>1</v>
      </c>
      <c r="BF172" s="5">
        <f>SUMIFS( E4:E451, N4:N451,"2018", D4:D451,"Estudios árabes e islámicos")</f>
        <v>0</v>
      </c>
      <c r="BG172" s="23">
        <f>AVERAGEIFS( E4:E451, D4:D451,"Estudios árabes e islámicos")</f>
        <v>1</v>
      </c>
      <c r="BH172" s="23">
        <v>0</v>
      </c>
      <c r="BI172" s="23">
        <v>0</v>
      </c>
      <c r="BJ172" s="23">
        <v>0</v>
      </c>
      <c r="BK172" s="23">
        <f>AVERAGEIFS( E4:E451, A4:A451,"2016", D4:D451,"Estudios árabes e islámicos")</f>
        <v>1</v>
      </c>
      <c r="BL172" s="23">
        <v>0</v>
      </c>
      <c r="BM172" s="23">
        <v>1</v>
      </c>
      <c r="BN172" s="23">
        <v>0</v>
      </c>
      <c r="BO172" s="23">
        <v>0</v>
      </c>
      <c r="BP172" s="23">
        <v>0</v>
      </c>
      <c r="BQ172" s="23">
        <v>1</v>
      </c>
      <c r="BR172" s="23">
        <v>0</v>
      </c>
    </row>
    <row r="173" spans="1:70" ht="15" customHeight="1" x14ac:dyDescent="0.25">
      <c r="A173">
        <v>2015</v>
      </c>
      <c r="B173" s="14" t="s">
        <v>78</v>
      </c>
      <c r="C173" s="14" t="s">
        <v>79</v>
      </c>
      <c r="D173" s="14" t="s">
        <v>56</v>
      </c>
      <c r="E173">
        <v>3</v>
      </c>
      <c r="F173" t="s">
        <v>215</v>
      </c>
      <c r="G173" t="s">
        <v>233</v>
      </c>
      <c r="H173" t="s">
        <v>233</v>
      </c>
      <c r="I173" s="14" t="s">
        <v>233</v>
      </c>
      <c r="J173" s="14" t="s">
        <v>234</v>
      </c>
      <c r="K173" s="14" t="s">
        <v>233</v>
      </c>
      <c r="L173" s="14" t="s">
        <v>234</v>
      </c>
      <c r="M173" s="14">
        <v>42356</v>
      </c>
      <c r="N173" s="14" t="str">
        <f t="shared" si="2"/>
        <v>2015</v>
      </c>
      <c r="O173" s="64" t="s">
        <v>198</v>
      </c>
      <c r="P173" s="56"/>
      <c r="Q173" s="56"/>
      <c r="R173" s="56"/>
      <c r="S173" s="56"/>
      <c r="T173" s="57"/>
      <c r="U173" s="5">
        <f>COUNTIFS(   D4:D451,"Estudios eslavos")</f>
        <v>1</v>
      </c>
      <c r="V173" s="5">
        <f>COUNTIFS(   D4:D451,"Estudios eslavos",F4:F451,"Hombre")</f>
        <v>1</v>
      </c>
      <c r="W173" s="5">
        <f>COUNTIFS(   D4:D451,"Estudios eslavos",F4:F451,"Mujer")</f>
        <v>0</v>
      </c>
      <c r="X173" s="29">
        <f>COUNTIFS(   A4:A451,"2013", D4:D451,"Estudios eslavos")</f>
        <v>0</v>
      </c>
      <c r="Y173" s="5">
        <f>COUNTIFS(   A4:A451,"2014", D4:D451,"Estudios eslavos")</f>
        <v>0</v>
      </c>
      <c r="Z173" s="5">
        <f>COUNTIFS(   A4:A451,"2015", D4:D451,"Estudios eslavos")</f>
        <v>0</v>
      </c>
      <c r="AA173" s="5">
        <f>COUNTIFS(   A4:A451,"2016", D4:D451,"Estudios eslavos")</f>
        <v>1</v>
      </c>
      <c r="AB173" s="5">
        <f>COUNTIFS(   A4:A451,"2017", D4:D451,"Estudios eslavos")</f>
        <v>0</v>
      </c>
      <c r="AC173" s="29">
        <f>COUNTIFS(   N4:N451,"2014", D4:D451,"Estudios eslavos")</f>
        <v>0</v>
      </c>
      <c r="AD173" s="5">
        <f>COUNTIFS(   N4:N451,"2015", D4:D451,"Estudios eslavos")</f>
        <v>0</v>
      </c>
      <c r="AE173" s="5">
        <f>COUNTIFS(   N4:N451,"2016", D4:D451,"Estudios eslavos")</f>
        <v>0</v>
      </c>
      <c r="AF173" s="5">
        <f>COUNTIFS(   N4:N451,"2017", D4:D451,"Estudios eslavos")</f>
        <v>1</v>
      </c>
      <c r="AG173" s="5">
        <f>COUNTIFS(   N4:N451,"2018", D4:D451,"Estudios eslavos")</f>
        <v>0</v>
      </c>
      <c r="AH173" s="5">
        <f>COUNTIFS(   D4:D451,"Estudios eslavos",G4:G451,"Sí")</f>
        <v>0</v>
      </c>
      <c r="AI173" s="5">
        <f>COUNTIFS(   D4:D451,"Estudios eslavos",G4:G451,"No")</f>
        <v>1</v>
      </c>
      <c r="AJ173" s="5">
        <f>SUMIFS( E4:E451, D4:D451,"Estudios eslavos",G4:G451,"Sí")</f>
        <v>0</v>
      </c>
      <c r="AK173" s="5">
        <f>SUMIFS( E4:E451, D4:D451,"Estudios eslavos",G4:G451,"No")</f>
        <v>1</v>
      </c>
      <c r="AL173" s="5">
        <f>COUNTIFS(   D4:D451,"Estudios eslavos",H4:H451,"Sí")</f>
        <v>0</v>
      </c>
      <c r="AM173" s="5">
        <f>COUNTIFS(   D4:D451,"Estudios eslavos",I4:I451,"Sí")</f>
        <v>1</v>
      </c>
      <c r="AN173" s="5">
        <f>COUNTIFS(   D4:D451,"Estudios eslavos",I4:I451,"No")</f>
        <v>0</v>
      </c>
      <c r="AO173" s="5">
        <f>SUMIFS( E4:E451, D4:D451,"Estudios eslavos",I4:I451,"Sí")</f>
        <v>1</v>
      </c>
      <c r="AP173" s="5">
        <f>SUMIFS( E4:E451, D4:D451,"Estudios eslavos",I4:I451,"No")</f>
        <v>0</v>
      </c>
      <c r="AQ173" s="5">
        <f>COUNTIFS(   D4:D451,"Estudios eslavos",J4:J451,"Sí")</f>
        <v>1</v>
      </c>
      <c r="AR173" s="5">
        <f>COUNTIFS(   D4:D451,"Estudios eslavos",K4:K451,"Sí")</f>
        <v>0</v>
      </c>
      <c r="AS173" s="5">
        <f>COUNTIFS(   D4:D451,"Estudios eslavos",L4:L451,"Sí")</f>
        <v>1</v>
      </c>
      <c r="AT173" s="5">
        <f>SUMIFS( E4:E451, D4:D451,"Estudios eslavos")</f>
        <v>1</v>
      </c>
      <c r="AU173" s="5">
        <f>SUMIFS( E4:E451, F4:F451,"Hombre", D4:D451,"Estudios eslavos")</f>
        <v>1</v>
      </c>
      <c r="AV173" s="5">
        <f>SUMIFS( E4:E451, F4:F451,"Mujer", D4:D451,"Estudios eslavos")</f>
        <v>0</v>
      </c>
      <c r="AW173" s="29">
        <f>SUMIFS( E4:E451, A4:A451,"2013", D4:D451,"Estudios eslavos")</f>
        <v>0</v>
      </c>
      <c r="AX173" s="5">
        <f>SUMIFS( E4:E451, A4:A451,"2014", D4:D451,"Estudios eslavos")</f>
        <v>0</v>
      </c>
      <c r="AY173" s="5">
        <f>SUMIFS( E4:E451, A4:A451,"2015", D4:D451,"Estudios eslavos")</f>
        <v>0</v>
      </c>
      <c r="AZ173" s="5">
        <f>SUMIFS( E4:E451, A4:A451,"2016", D4:D451,"Estudios eslavos")</f>
        <v>1</v>
      </c>
      <c r="BA173" s="5">
        <f>SUMIFS( E4:E451, A4:A451,"2017", D4:D451,"Estudios eslavos")</f>
        <v>0</v>
      </c>
      <c r="BB173" s="29">
        <f>SUMIFS( E4:E451, N4:N451,"2014", D4:D451,"Estudios eslavos")</f>
        <v>0</v>
      </c>
      <c r="BC173" s="5">
        <f>SUMIFS( E4:E451, N4:N451,"2015", D4:D451,"Estudios eslavos")</f>
        <v>0</v>
      </c>
      <c r="BD173" s="5">
        <f>SUMIFS( E4:E451, N4:N451,"2016", D4:D451,"Estudios eslavos")</f>
        <v>0</v>
      </c>
      <c r="BE173" s="5">
        <f>SUMIFS( E4:E451, N4:N451,"2017", D4:D451,"Estudios eslavos")</f>
        <v>1</v>
      </c>
      <c r="BF173" s="5">
        <f>SUMIFS( E4:E451, N4:N451,"2018", D4:D451,"Estudios eslavos")</f>
        <v>0</v>
      </c>
      <c r="BG173" s="23">
        <f>AVERAGEIFS( E4:E451, D4:D451,"Estudios eslavos")</f>
        <v>1</v>
      </c>
      <c r="BH173" s="23">
        <v>0</v>
      </c>
      <c r="BI173" s="23">
        <v>0</v>
      </c>
      <c r="BJ173" s="23">
        <v>0</v>
      </c>
      <c r="BK173" s="23">
        <f>AVERAGEIFS( E4:E451, A4:A451,"2016", D4:D451,"Estudios eslavos")</f>
        <v>1</v>
      </c>
      <c r="BL173" s="23">
        <v>0</v>
      </c>
      <c r="BM173" s="23">
        <v>1</v>
      </c>
      <c r="BN173" s="23">
        <v>0</v>
      </c>
      <c r="BO173" s="23">
        <v>0</v>
      </c>
      <c r="BP173" s="23">
        <v>0</v>
      </c>
      <c r="BQ173" s="23">
        <v>1</v>
      </c>
      <c r="BR173" s="23">
        <v>0</v>
      </c>
    </row>
    <row r="174" spans="1:70" ht="15" customHeight="1" x14ac:dyDescent="0.25">
      <c r="A174">
        <v>2014</v>
      </c>
      <c r="B174" s="14" t="s">
        <v>78</v>
      </c>
      <c r="C174" s="14" t="s">
        <v>79</v>
      </c>
      <c r="D174" s="14" t="s">
        <v>55</v>
      </c>
      <c r="E174">
        <v>19</v>
      </c>
      <c r="F174" t="s">
        <v>215</v>
      </c>
      <c r="G174" t="s">
        <v>233</v>
      </c>
      <c r="H174" t="s">
        <v>233</v>
      </c>
      <c r="I174" s="14" t="s">
        <v>233</v>
      </c>
      <c r="J174" s="14" t="s">
        <v>234</v>
      </c>
      <c r="K174" s="14" t="s">
        <v>233</v>
      </c>
      <c r="L174" s="14" t="s">
        <v>234</v>
      </c>
      <c r="M174" s="14">
        <v>42020</v>
      </c>
      <c r="N174" s="14" t="str">
        <f t="shared" si="2"/>
        <v>2015</v>
      </c>
      <c r="O174" s="64" t="s">
        <v>201</v>
      </c>
      <c r="P174" s="56"/>
      <c r="Q174" s="56"/>
      <c r="R174" s="56"/>
      <c r="S174" s="56"/>
      <c r="T174" s="57"/>
      <c r="U174" s="5">
        <f>COUNTIFS(   D4:D451,"Estudios románicos: lengua y literatura italiana, portuguesa y catalana")</f>
        <v>1</v>
      </c>
      <c r="V174" s="5">
        <f>COUNTIFS(   D4:D451,"Estudios románicos: lengua y literatura italiana, portuguesa y catalana",F4:F451,"Hombre")</f>
        <v>1</v>
      </c>
      <c r="W174" s="5">
        <f>COUNTIFS(   D4:D451,"Estudios románicos: lengua y literatura italiana, portuguesa y catalana",F4:F451,"Mujer")</f>
        <v>0</v>
      </c>
      <c r="X174" s="29">
        <f>COUNTIFS(   A4:A451,"2013", D4:D451,"Estudios románicos: lengua y literatura italiana, portuguesa y catalana")</f>
        <v>0</v>
      </c>
      <c r="Y174" s="5">
        <f>COUNTIFS(   A4:A451,"2014", D4:D451,"Estudios románicos: lengua y literatura italiana, portuguesa y catalana")</f>
        <v>0</v>
      </c>
      <c r="Z174" s="5">
        <f>COUNTIFS(   A4:A451,"2015", D4:D451,"Estudios románicos: lengua y literatura italiana, portuguesa y catalana")</f>
        <v>0</v>
      </c>
      <c r="AA174" s="5">
        <f>COUNTIFS(   A4:A451,"2016", D4:D451,"Estudios románicos: lengua y literatura italiana, portuguesa y catalana")</f>
        <v>1</v>
      </c>
      <c r="AB174" s="5">
        <f>COUNTIFS(   A4:A451,"2017", D4:D451,"Estudios románicos: lengua y literatura italiana, portuguesa y catalana")</f>
        <v>0</v>
      </c>
      <c r="AC174" s="29">
        <f>COUNTIFS(   N4:N451,"2014", D4:D451,"Estudios románicos: lengua y literatura italiana, portuguesa y catalana")</f>
        <v>0</v>
      </c>
      <c r="AD174" s="5">
        <f>COUNTIFS(   N4:N451,"2015", D4:D451,"Estudios románicos: lengua y literatura italiana, portuguesa y catalana")</f>
        <v>0</v>
      </c>
      <c r="AE174" s="5">
        <f>COUNTIFS(   N4:N451,"2016", D4:D451,"Estudios románicos: lengua y literatura italiana, portuguesa y catalana")</f>
        <v>1</v>
      </c>
      <c r="AF174" s="5">
        <f>COUNTIFS(   N4:N451,"2017", D4:D451,"Estudios románicos: lengua y literatura italiana, portuguesa y catalana")</f>
        <v>0</v>
      </c>
      <c r="AG174" s="5">
        <f>COUNTIFS(   N4:N451,"2018", D4:D451,"Estudios románicos: lengua y literatura italiana, portuguesa y catalana")</f>
        <v>0</v>
      </c>
      <c r="AH174" s="5">
        <f>COUNTIFS(   D4:D451,"Estudios románicos: lengua y literatura italiana, portuguesa y catalana",G4:G451,"Sí")</f>
        <v>0</v>
      </c>
      <c r="AI174" s="5">
        <f>COUNTIFS(   D4:D451,"Estudios románicos: lengua y literatura italiana, portuguesa y catalana",G4:G451,"No")</f>
        <v>1</v>
      </c>
      <c r="AJ174" s="5">
        <f>SUMIFS( E4:E451, D4:D451,"Estudios románicos: lengua y literatura italiana, portuguesa y catalana",G4:G451,"Sí")</f>
        <v>0</v>
      </c>
      <c r="AK174" s="5">
        <f>SUMIFS( E4:E451, D4:D451,"Estudios románicos: lengua y literatura italiana, portuguesa y catalana",G4:G451,"No")</f>
        <v>1</v>
      </c>
      <c r="AL174" s="5">
        <f>COUNTIFS(   D4:D451,"Estudios románicos: lengua y literatura italiana, portuguesa y catalana",H4:H451,"Sí")</f>
        <v>0</v>
      </c>
      <c r="AM174" s="5">
        <f>COUNTIFS(   D4:D451,"Estudios románicos: lengua y literatura italiana, portuguesa y catalana",I4:I451,"Sí")</f>
        <v>0</v>
      </c>
      <c r="AN174" s="5">
        <f>COUNTIFS(   D4:D451,"Estudios románicos: lengua y literatura italiana, portuguesa y catalana",I4:I451,"No")</f>
        <v>1</v>
      </c>
      <c r="AO174" s="5">
        <f>SUMIFS( E4:E451, D4:D451,"Estudios románicos: lengua y literatura italiana, portuguesa y catalana",I4:I451,"Sí")</f>
        <v>0</v>
      </c>
      <c r="AP174" s="5">
        <f>SUMIFS( E4:E451, D4:D451,"Estudios románicos: lengua y literatura italiana, portuguesa y catalana",I4:I451,"No")</f>
        <v>1</v>
      </c>
      <c r="AQ174" s="5">
        <f>COUNTIFS(   D4:D451,"Estudios románicos: lengua y literatura italiana, portuguesa y catalana",J4:J451,"Sí")</f>
        <v>1</v>
      </c>
      <c r="AR174" s="5">
        <f>COUNTIFS(   D4:D451,"Estudios románicos: lengua y literatura italiana, portuguesa y catalana",K4:K451,"Sí")</f>
        <v>0</v>
      </c>
      <c r="AS174" s="5">
        <f>COUNTIFS(   D4:D451,"Estudios románicos: lengua y literatura italiana, portuguesa y catalana",L4:L451,"Sí")</f>
        <v>1</v>
      </c>
      <c r="AT174" s="5">
        <f>SUMIFS( E4:E451, D4:D451,"Estudios románicos: lengua y literatura italiana, portuguesa y catalana")</f>
        <v>1</v>
      </c>
      <c r="AU174" s="5">
        <f>SUMIFS( E4:E451, F4:F451,"Hombre", D4:D451,"Estudios románicos: lengua y literatura italiana, portuguesa y catalana")</f>
        <v>1</v>
      </c>
      <c r="AV174" s="5">
        <f>SUMIFS( E4:E451, F4:F451,"Mujer", D4:D451,"Estudios románicos: lengua y literatura italiana, portuguesa y catalana")</f>
        <v>0</v>
      </c>
      <c r="AW174" s="29">
        <f>SUMIFS( E4:E451, A4:A451,"2013", D4:D451,"Estudios románicos: lengua y literatura italiana, portuguesa y catalana")</f>
        <v>0</v>
      </c>
      <c r="AX174" s="5">
        <f>SUMIFS( E4:E451, A4:A451,"2014", D4:D451,"Estudios románicos: lengua y literatura italiana, portuguesa y catalana")</f>
        <v>0</v>
      </c>
      <c r="AY174" s="5">
        <f>SUMIFS( E4:E451, A4:A451,"2015", D4:D451,"Estudios románicos: lengua y literatura italiana, portuguesa y catalana")</f>
        <v>0</v>
      </c>
      <c r="AZ174" s="5">
        <f>SUMIFS( E4:E451, A4:A451,"2016", D4:D451,"Estudios románicos: lengua y literatura italiana, portuguesa y catalana")</f>
        <v>1</v>
      </c>
      <c r="BA174" s="5">
        <f>SUMIFS( E4:E451, A4:A451,"2017", D4:D451,"Estudios románicos: lengua y literatura italiana, portuguesa y catalana")</f>
        <v>0</v>
      </c>
      <c r="BB174" s="29">
        <f>SUMIFS( E4:E451, N4:N451,"2014", D4:D451,"Estudios románicos: lengua y literatura italiana, portuguesa y catalana")</f>
        <v>0</v>
      </c>
      <c r="BC174" s="5">
        <f>SUMIFS( E4:E451, N4:N451,"2015", D4:D451,"Estudios románicos: lengua y literatura italiana, portuguesa y catalana")</f>
        <v>0</v>
      </c>
      <c r="BD174" s="5">
        <f>SUMIFS( E4:E451, N4:N451,"2016", D4:D451,"Estudios románicos: lengua y literatura italiana, portuguesa y catalana")</f>
        <v>1</v>
      </c>
      <c r="BE174" s="5">
        <f>SUMIFS( E4:E451, N4:N451,"2017", D4:D451,"Estudios románicos: lengua y literatura italiana, portuguesa y catalana")</f>
        <v>0</v>
      </c>
      <c r="BF174" s="5">
        <f>SUMIFS( E4:E451, N4:N451,"2018", D4:D451,"Estudios románicos: lengua y literatura italiana, portuguesa y catalana")</f>
        <v>0</v>
      </c>
      <c r="BG174" s="23">
        <f>AVERAGEIFS( E4:E451, D4:D451,"Estudios románicos: lengua y literatura italiana, portuguesa y catalana")</f>
        <v>1</v>
      </c>
      <c r="BH174" s="23">
        <v>0</v>
      </c>
      <c r="BI174" s="23">
        <v>0</v>
      </c>
      <c r="BJ174" s="23">
        <v>0</v>
      </c>
      <c r="BK174" s="23">
        <f>AVERAGEIFS( E4:E451, A4:A451,"2016", D4:D451,"Estudios románicos: lengua y literatura italiana, portuguesa y catalana")</f>
        <v>1</v>
      </c>
      <c r="BL174" s="23">
        <v>0</v>
      </c>
      <c r="BM174" s="23">
        <v>1</v>
      </c>
      <c r="BN174" s="23">
        <v>0</v>
      </c>
      <c r="BO174" s="23">
        <v>0</v>
      </c>
      <c r="BP174" s="23">
        <v>0</v>
      </c>
      <c r="BQ174" s="23">
        <v>1</v>
      </c>
      <c r="BR174" s="23">
        <v>0</v>
      </c>
    </row>
    <row r="175" spans="1:70" x14ac:dyDescent="0.25">
      <c r="A175">
        <v>2017</v>
      </c>
      <c r="B175" s="14" t="s">
        <v>78</v>
      </c>
      <c r="C175" s="14" t="s">
        <v>80</v>
      </c>
      <c r="D175" s="14" t="s">
        <v>81</v>
      </c>
      <c r="E175">
        <v>4</v>
      </c>
      <c r="F175" t="s">
        <v>211</v>
      </c>
      <c r="G175" t="s">
        <v>233</v>
      </c>
      <c r="H175" t="s">
        <v>233</v>
      </c>
      <c r="I175" s="14" t="s">
        <v>233</v>
      </c>
      <c r="J175" s="14" t="s">
        <v>233</v>
      </c>
      <c r="K175" s="14" t="s">
        <v>233</v>
      </c>
      <c r="L175" s="14" t="s">
        <v>233</v>
      </c>
      <c r="M175" s="14">
        <v>43244</v>
      </c>
      <c r="N175" s="14" t="str">
        <f t="shared" si="2"/>
        <v>2018</v>
      </c>
      <c r="O175" s="64" t="s">
        <v>193</v>
      </c>
      <c r="P175" s="56"/>
      <c r="Q175" s="56"/>
      <c r="R175" s="56"/>
      <c r="S175" s="56"/>
      <c r="T175" s="57"/>
      <c r="U175" s="5">
        <f>COUNTIFS(   D4:D451,"Judaísmo clásico y medieval y mundo sefardí")</f>
        <v>1</v>
      </c>
      <c r="V175" s="5">
        <f>COUNTIFS(   D4:D451,"Judaísmo clásico y medieval y mundo sefardí",F4:F451,"Hombre")</f>
        <v>0</v>
      </c>
      <c r="W175" s="5">
        <f>COUNTIFS(   D4:D451,"Judaísmo clásico y medieval y mundo sefardí",F4:F451,"Mujer")</f>
        <v>1</v>
      </c>
      <c r="X175" s="29">
        <v>0</v>
      </c>
      <c r="Y175" s="5">
        <v>0</v>
      </c>
      <c r="Z175" s="5">
        <v>0</v>
      </c>
      <c r="AA175" s="5">
        <v>0</v>
      </c>
      <c r="AB175" s="5">
        <v>0</v>
      </c>
      <c r="AC175" s="29">
        <v>0</v>
      </c>
      <c r="AD175" s="5">
        <v>0</v>
      </c>
      <c r="AE175" s="5">
        <v>0</v>
      </c>
      <c r="AF175" s="5">
        <v>0</v>
      </c>
      <c r="AG175" s="5">
        <v>0</v>
      </c>
      <c r="AH175" s="5">
        <f>COUNTIFS(   D4:D451,"Judaísmo clásico y medieval y mundo sefardí",G4:G451,"Sí")</f>
        <v>0</v>
      </c>
      <c r="AI175" s="5">
        <f>COUNTIFS(   D4:D451,"Judaísmo clásico y medieval y mundo sefardí",G4:G451,"No")</f>
        <v>1</v>
      </c>
      <c r="AJ175" s="5">
        <f>SUMIFS( E4:E451, D4:D451,"Judaísmo clásico y medieval y mundo sefardí",G4:G451,"Sí")</f>
        <v>0</v>
      </c>
      <c r="AK175" s="5">
        <f>SUMIFS( E4:E451, D4:D451,"Judaísmo clásico y medieval y mundo sefardí",G4:G451,"No")</f>
        <v>0</v>
      </c>
      <c r="AL175" s="5">
        <f>COUNTIFS(   D4:D451,"Judaísmo clásico y medieval y mundo sefardí",H4:H451,"Sí")</f>
        <v>0</v>
      </c>
      <c r="AM175" s="5">
        <f>COUNTIFS(   D4:D451,"Judaísmo clásico y medieval y mundo sefardí",I4:I451,"Sí")</f>
        <v>1</v>
      </c>
      <c r="AN175" s="5">
        <f>COUNTIFS(   D4:D451,"Judaísmo clásico y medieval y mundo sefardí",I4:I451,"No")</f>
        <v>0</v>
      </c>
      <c r="AO175" s="5">
        <f>SUMIFS( E4:E451, D4:D451,"Judaísmo clásico y medieval y mundo sefardí",I4:I451,"Sí")</f>
        <v>0</v>
      </c>
      <c r="AP175" s="5">
        <f>SUMIFS( E4:E451, D4:D451,"Judaísmo clásico y medieval y mundo sefardí",I4:I451,"No")</f>
        <v>0</v>
      </c>
      <c r="AQ175" s="5">
        <f>COUNTIFS(   D4:D451,"Judaísmo clásico y medieval y mundo sefardí",J4:J451,"Sí")</f>
        <v>0</v>
      </c>
      <c r="AR175" s="5">
        <f>COUNTIFS(   D4:D451,"Judaísmo clásico y medieval y mundo sefardí",K4:K451,"Sí")</f>
        <v>0</v>
      </c>
      <c r="AS175" s="5">
        <f>COUNTIFS(   D4:D451,"Judaísmo clásico y medieval y mundo sefardí",L4:L451,"Sí")</f>
        <v>0</v>
      </c>
      <c r="AT175" s="5">
        <f>SUMIFS( E4:E451, D4:D451,"Judaísmo clásico y medieval y mundo sefardí")</f>
        <v>0</v>
      </c>
      <c r="AU175" s="5">
        <v>0</v>
      </c>
      <c r="AV175" s="5">
        <v>0</v>
      </c>
      <c r="AW175" s="29">
        <v>0</v>
      </c>
      <c r="AX175" s="5">
        <v>0</v>
      </c>
      <c r="AY175" s="5">
        <v>0</v>
      </c>
      <c r="AZ175" s="5">
        <v>0</v>
      </c>
      <c r="BA175" s="5">
        <v>0</v>
      </c>
      <c r="BB175" s="29">
        <v>0</v>
      </c>
      <c r="BC175" s="5">
        <v>0</v>
      </c>
      <c r="BD175" s="5">
        <v>0</v>
      </c>
      <c r="BE175" s="5">
        <v>0</v>
      </c>
      <c r="BF175" s="5">
        <v>0</v>
      </c>
      <c r="BG175" s="23">
        <f>AVERAGEIFS( E4:E451, D4:D451,"Judaísmo clásico y medieval y mundo sefardí")</f>
        <v>0</v>
      </c>
      <c r="BH175" s="23">
        <v>0</v>
      </c>
      <c r="BI175" s="23">
        <v>0</v>
      </c>
      <c r="BJ175" s="23">
        <v>0</v>
      </c>
      <c r="BK175" s="23">
        <v>0</v>
      </c>
      <c r="BL175" s="23">
        <v>0</v>
      </c>
      <c r="BM175" s="23">
        <v>0</v>
      </c>
      <c r="BN175" s="23">
        <v>0</v>
      </c>
      <c r="BO175" s="23">
        <v>0</v>
      </c>
      <c r="BP175" s="23">
        <v>0</v>
      </c>
      <c r="BQ175" s="23">
        <v>0</v>
      </c>
      <c r="BR175" s="23">
        <v>0</v>
      </c>
    </row>
    <row r="176" spans="1:70" ht="15" customHeight="1" x14ac:dyDescent="0.25">
      <c r="A176">
        <v>2017</v>
      </c>
      <c r="B176" s="14" t="s">
        <v>78</v>
      </c>
      <c r="C176" s="14" t="s">
        <v>80</v>
      </c>
      <c r="D176" s="14" t="s">
        <v>82</v>
      </c>
      <c r="E176">
        <v>4</v>
      </c>
      <c r="F176" t="s">
        <v>211</v>
      </c>
      <c r="G176" t="s">
        <v>233</v>
      </c>
      <c r="H176" t="s">
        <v>233</v>
      </c>
      <c r="I176" s="14" t="s">
        <v>233</v>
      </c>
      <c r="J176" s="14" t="s">
        <v>234</v>
      </c>
      <c r="K176" s="14" t="s">
        <v>233</v>
      </c>
      <c r="L176" s="14" t="s">
        <v>234</v>
      </c>
      <c r="M176" s="14">
        <v>43220</v>
      </c>
      <c r="N176" s="14" t="str">
        <f t="shared" si="2"/>
        <v>2018</v>
      </c>
      <c r="O176" s="64" t="s">
        <v>199</v>
      </c>
      <c r="P176" s="56"/>
      <c r="Q176" s="56"/>
      <c r="R176" s="56"/>
      <c r="S176" s="56"/>
      <c r="T176" s="57"/>
      <c r="U176" s="5">
        <f>COUNTIFS(   D4:D451,"Lengua española")</f>
        <v>3</v>
      </c>
      <c r="V176" s="5">
        <f>COUNTIFS(   D4:D451,"Lengua española",F4:F451,"Hombre")</f>
        <v>2</v>
      </c>
      <c r="W176" s="5">
        <f>COUNTIFS(   D4:D451,"Lengua española",F4:F451,"Mujer")</f>
        <v>1</v>
      </c>
      <c r="X176" s="29">
        <f>COUNTIFS(   A4:A451,"2013", D4:D451,"Lengua española")</f>
        <v>0</v>
      </c>
      <c r="Y176" s="5">
        <f>COUNTIFS(   A4:A451,"2014", D4:D451,"Lengua española")</f>
        <v>0</v>
      </c>
      <c r="Z176" s="5">
        <f>COUNTIFS(   A4:A451,"2015", D4:D451,"Lengua española")</f>
        <v>0</v>
      </c>
      <c r="AA176" s="5">
        <f>COUNTIFS(   A4:A451,"2016", D4:D451,"Lengua española")</f>
        <v>3</v>
      </c>
      <c r="AB176" s="5">
        <f>COUNTIFS(   A4:A451,"2017", D4:D451,"Lengua española")</f>
        <v>0</v>
      </c>
      <c r="AC176" s="29">
        <f>COUNTIFS(   N4:N451,"2014", D4:D451,"Lengua española")</f>
        <v>0</v>
      </c>
      <c r="AD176" s="5">
        <f>COUNTIFS(   N4:N451,"2015", D4:D451,"Lengua española")</f>
        <v>0</v>
      </c>
      <c r="AE176" s="5">
        <f>COUNTIFS(   N4:N451,"2016", D4:D451,"Lengua española")</f>
        <v>0</v>
      </c>
      <c r="AF176" s="5">
        <f>COUNTIFS(   N4:N451,"2017", D4:D451,"Lengua española")</f>
        <v>3</v>
      </c>
      <c r="AG176" s="5">
        <f>COUNTIFS(   N4:N451,"2018", D4:D451,"Lengua española")</f>
        <v>0</v>
      </c>
      <c r="AH176" s="5">
        <f>COUNTIFS(   D4:D451,"Lengua española",G4:G451,"Sí")</f>
        <v>0</v>
      </c>
      <c r="AI176" s="5">
        <f>COUNTIFS(   D4:D451,"Lengua española",G4:G451,"No")</f>
        <v>3</v>
      </c>
      <c r="AJ176" s="5">
        <f>SUMIFS( E4:E451, D4:D451,"Lengua española",G4:G451,"Sí")</f>
        <v>0</v>
      </c>
      <c r="AK176" s="5">
        <f>SUMIFS( E4:E451, D4:D451,"Lengua española",G4:G451,"No")</f>
        <v>1</v>
      </c>
      <c r="AL176" s="5">
        <f>COUNTIFS(   D4:D451,"Lengua española",H4:H451,"Sí")</f>
        <v>0</v>
      </c>
      <c r="AM176" s="5">
        <f>COUNTIFS(   D4:D451,"Lengua española",I4:I451,"Sí")</f>
        <v>0</v>
      </c>
      <c r="AN176" s="5">
        <f>COUNTIFS(   D4:D451,"Lengua española",I4:I451,"No")</f>
        <v>3</v>
      </c>
      <c r="AO176" s="5">
        <f>SUMIFS( E4:E451, D4:D451,"Lengua española",I4:I451,"Sí")</f>
        <v>0</v>
      </c>
      <c r="AP176" s="5">
        <f>SUMIFS( E4:E451, D4:D451,"Lengua española",I4:I451,"No")</f>
        <v>1</v>
      </c>
      <c r="AQ176" s="5">
        <f>COUNTIFS(   D4:D451,"Lengua española",J4:J451,"Sí")</f>
        <v>3</v>
      </c>
      <c r="AR176" s="5">
        <f>COUNTIFS(   D4:D451,"Lengua española",K4:K451,"Sí")</f>
        <v>2</v>
      </c>
      <c r="AS176" s="5">
        <f>COUNTIFS(   D4:D451,"Lengua española",L4:L451,"Sí")</f>
        <v>3</v>
      </c>
      <c r="AT176" s="5">
        <f>SUMIFS( E4:E451, D4:D451,"Lengua española")</f>
        <v>1</v>
      </c>
      <c r="AU176" s="5">
        <f>SUMIFS( E4:E451, F4:F451,"Hombre", D4:D451,"Lengua española")</f>
        <v>0</v>
      </c>
      <c r="AV176" s="5">
        <f>SUMIFS( E4:E451, F4:F451,"Mujer", D4:D451,"Lengua española")</f>
        <v>1</v>
      </c>
      <c r="AW176" s="29">
        <f>SUMIFS( E4:E451, A4:A451,"2013", D4:D451,"Lengua española")</f>
        <v>0</v>
      </c>
      <c r="AX176" s="5">
        <f>SUMIFS( E4:E451, A4:A451,"2014", D4:D451,"Lengua española")</f>
        <v>0</v>
      </c>
      <c r="AY176" s="5">
        <f>SUMIFS( E4:E451, A4:A451,"2015", D4:D451,"Lengua española")</f>
        <v>0</v>
      </c>
      <c r="AZ176" s="5">
        <f>SUMIFS( E4:E451, A4:A451,"2016", D4:D451,"Lengua española")</f>
        <v>1</v>
      </c>
      <c r="BA176" s="5">
        <f>SUMIFS( E4:E451, A4:A451,"2017", D4:D451,"Lengua española")</f>
        <v>0</v>
      </c>
      <c r="BB176" s="29">
        <f>SUMIFS( E4:E451, N4:N451,"2014", D4:D451,"Lengua española")</f>
        <v>0</v>
      </c>
      <c r="BC176" s="5">
        <f>SUMIFS( E4:E451, N4:N451,"2015", D4:D451,"Lengua española")</f>
        <v>0</v>
      </c>
      <c r="BD176" s="5">
        <f>SUMIFS( E4:E451, N4:N451,"2016", D4:D451,"Lengua española")</f>
        <v>0</v>
      </c>
      <c r="BE176" s="5">
        <f>SUMIFS( E4:E451, N4:N451,"2017", D4:D451,"Lengua española")</f>
        <v>1</v>
      </c>
      <c r="BF176" s="5">
        <f>SUMIFS( E4:E451, N4:N451,"2018", D4:D451,"Lengua española")</f>
        <v>0</v>
      </c>
      <c r="BG176" s="23">
        <f>AVERAGEIFS( E4:E451, D4:D451,"Lengua española")</f>
        <v>0.33333333333333331</v>
      </c>
      <c r="BH176" s="23">
        <v>0</v>
      </c>
      <c r="BI176" s="23">
        <v>0</v>
      </c>
      <c r="BJ176" s="23">
        <v>0</v>
      </c>
      <c r="BK176" s="23">
        <f>AVERAGEIFS( E4:E451, A4:A451,"2016", D4:D451,"Lengua española")</f>
        <v>0.33333333333333331</v>
      </c>
      <c r="BL176" s="23">
        <v>0</v>
      </c>
      <c r="BM176" s="23">
        <v>0.33333333333333331</v>
      </c>
      <c r="BN176" s="23">
        <v>0</v>
      </c>
      <c r="BO176" s="23">
        <v>0</v>
      </c>
      <c r="BP176" s="23">
        <v>0</v>
      </c>
      <c r="BQ176" s="23">
        <v>0.33333333333333331</v>
      </c>
      <c r="BR176" s="23">
        <v>0</v>
      </c>
    </row>
    <row r="177" spans="1:70" ht="15" customHeight="1" x14ac:dyDescent="0.25">
      <c r="A177">
        <v>2017</v>
      </c>
      <c r="B177" s="14" t="s">
        <v>78</v>
      </c>
      <c r="C177" s="14" t="s">
        <v>80</v>
      </c>
      <c r="D177" s="14" t="s">
        <v>83</v>
      </c>
      <c r="E177">
        <v>5</v>
      </c>
      <c r="F177" t="s">
        <v>215</v>
      </c>
      <c r="G177" t="s">
        <v>233</v>
      </c>
      <c r="H177" t="s">
        <v>234</v>
      </c>
      <c r="I177" s="14" t="s">
        <v>234</v>
      </c>
      <c r="J177" s="14" t="s">
        <v>234</v>
      </c>
      <c r="K177" t="s">
        <v>234</v>
      </c>
      <c r="L177" s="14" t="s">
        <v>234</v>
      </c>
      <c r="M177" s="14">
        <v>43140</v>
      </c>
      <c r="N177" s="14" t="str">
        <f t="shared" si="2"/>
        <v>2018</v>
      </c>
      <c r="O177" s="64" t="s">
        <v>197</v>
      </c>
      <c r="P177" s="56"/>
      <c r="Q177" s="56"/>
      <c r="R177" s="56"/>
      <c r="S177" s="56"/>
      <c r="T177" s="57"/>
      <c r="U177" s="5">
        <f>COUNTIFS(   D4:D451,"Lengua y Literatura inglesas")</f>
        <v>2</v>
      </c>
      <c r="V177" s="5">
        <f>COUNTIFS(   D4:D451,"Lengua y Literatura inglesas",F4:F451,"Hombre")</f>
        <v>1</v>
      </c>
      <c r="W177" s="5">
        <f>COUNTIFS(   D4:D451,"Lengua y Literatura inglesas",F4:F451,"Mujer")</f>
        <v>1</v>
      </c>
      <c r="X177" s="29">
        <f>COUNTIFS(   A4:A451,"2013", D4:D451,"Lengua y Literatura inglesas")</f>
        <v>0</v>
      </c>
      <c r="Y177" s="5">
        <f>COUNTIFS(   A4:A451,"2014", D4:D451,"Lengua y Literatura inglesas")</f>
        <v>0</v>
      </c>
      <c r="Z177" s="5">
        <f>COUNTIFS(   A4:A451,"2015", D4:D451,"Lengua y Literatura inglesas")</f>
        <v>1</v>
      </c>
      <c r="AA177" s="5">
        <f>COUNTIFS(   A4:A451,"2016", D4:D451,"Lengua y Literatura inglesas")</f>
        <v>0</v>
      </c>
      <c r="AB177" s="5">
        <f>COUNTIFS(   A4:A451,"2017", D4:D451,"Lengua y Literatura inglesas")</f>
        <v>1</v>
      </c>
      <c r="AC177" s="29">
        <f>COUNTIFS(   N4:N451,"2014", D4:D451,"Lengua y Literatura inglesas")</f>
        <v>0</v>
      </c>
      <c r="AD177" s="5">
        <f>COUNTIFS(   N4:N451,"2015", D4:D451,"Lengua y Literatura inglesas")</f>
        <v>0</v>
      </c>
      <c r="AE177" s="5">
        <f>COUNTIFS(   N4:N451,"2016", D4:D451,"Lengua y Literatura inglesas")</f>
        <v>1</v>
      </c>
      <c r="AF177" s="5">
        <f>COUNTIFS(   N4:N451,"2017", D4:D451,"Lengua y Literatura inglesas")</f>
        <v>1</v>
      </c>
      <c r="AG177" s="5">
        <f>COUNTIFS(   N4:N451,"2018", D4:D451,"Lengua y Literatura inglesas")</f>
        <v>0</v>
      </c>
      <c r="AH177" s="5">
        <f>COUNTIFS(   D4:D451,"Lengua y Literatura inglesas",G4:G451,"Sí")</f>
        <v>0</v>
      </c>
      <c r="AI177" s="5">
        <f>COUNTIFS(   D4:D451,"Lengua y Literatura inglesas",G4:G451,"No")</f>
        <v>2</v>
      </c>
      <c r="AJ177" s="5">
        <f>SUMIFS( E4:E451, D4:D451,"Lengua y Literatura inglesas",G4:G451,"Sí")</f>
        <v>0</v>
      </c>
      <c r="AK177" s="5">
        <f>SUMIFS( E4:E451, D4:D451,"Lengua y Literatura inglesas",G4:G451,"No")</f>
        <v>3</v>
      </c>
      <c r="AL177" s="5">
        <f>COUNTIFS(   D4:D451,"Lengua y Literatura inglesas",H4:H451,"Sí")</f>
        <v>0</v>
      </c>
      <c r="AM177" s="5">
        <f>COUNTIFS(   D4:D451,"Lengua y Literatura inglesas",I4:I451,"Sí")</f>
        <v>0</v>
      </c>
      <c r="AN177" s="5">
        <f>COUNTIFS(   D4:D451,"Lengua y Literatura inglesas",I4:I451,"No")</f>
        <v>2</v>
      </c>
      <c r="AO177" s="5">
        <f>SUMIFS( E4:E451, D4:D451,"Lengua y Literatura inglesas",I4:I451,"Sí")</f>
        <v>0</v>
      </c>
      <c r="AP177" s="5">
        <f>SUMIFS( E4:E451, D4:D451,"Lengua y Literatura inglesas",I4:I451,"No")</f>
        <v>3</v>
      </c>
      <c r="AQ177" s="5">
        <f>COUNTIFS(   D4:D451,"Lengua y Literatura inglesas",J4:J451,"Sí")</f>
        <v>2</v>
      </c>
      <c r="AR177" s="5">
        <f>COUNTIFS(   D4:D451,"Lengua y Literatura inglesas",K4:K451,"Sí")</f>
        <v>0</v>
      </c>
      <c r="AS177" s="5">
        <f>COUNTIFS(   D4:D451,"Lengua y Literatura inglesas",L4:L451,"Sí")</f>
        <v>2</v>
      </c>
      <c r="AT177" s="5">
        <f>SUMIFS( E4:E451, D4:D451,"Lengua y Literatura inglesas")</f>
        <v>3</v>
      </c>
      <c r="AU177" s="5">
        <f>SUMIFS( E4:E451, F4:F451,"Hombre", D4:D451,"Lengua y Literatura inglesas")</f>
        <v>3</v>
      </c>
      <c r="AV177" s="5">
        <f>SUMIFS( E4:E451, F4:F451,"Mujer", D4:D451,"Lengua y Literatura inglesas")</f>
        <v>0</v>
      </c>
      <c r="AW177" s="29">
        <f>SUMIFS( E4:E451, A4:A451,"2013", D4:D451,"Lengua y Literatura inglesas")</f>
        <v>0</v>
      </c>
      <c r="AX177" s="5">
        <f>SUMIFS( E4:E451, A4:A451,"2014", D4:D451,"Lengua y Literatura inglesas")</f>
        <v>0</v>
      </c>
      <c r="AY177" s="5">
        <f>SUMIFS( E4:E451, A4:A451,"2015", D4:D451,"Lengua y Literatura inglesas")</f>
        <v>3</v>
      </c>
      <c r="AZ177" s="5">
        <f>SUMIFS( E4:E451, A4:A451,"2016", D4:D451,"Lengua y Literatura inglesas")</f>
        <v>0</v>
      </c>
      <c r="BA177" s="5">
        <f>SUMIFS( E4:E451, A4:A451,"2017", D4:D451,"Lengua y Literatura inglesas")</f>
        <v>0</v>
      </c>
      <c r="BB177" s="29">
        <f>SUMIFS( E4:E451, N4:N451,"2014", D4:D451,"Lengua y Literatura inglesas")</f>
        <v>0</v>
      </c>
      <c r="BC177" s="5">
        <f>SUMIFS( E4:E451, N4:N451,"2015", D4:D451,"Lengua y Literatura inglesas")</f>
        <v>0</v>
      </c>
      <c r="BD177" s="5">
        <f>SUMIFS( E4:E451, N4:N451,"2016", D4:D451,"Lengua y Literatura inglesas")</f>
        <v>3</v>
      </c>
      <c r="BE177" s="5">
        <f>SUMIFS( E4:E451, N4:N451,"2017", D4:D451,"Lengua y Literatura inglesas")</f>
        <v>0</v>
      </c>
      <c r="BF177" s="5">
        <f>SUMIFS( E4:E451, N4:N451,"2018", D4:D451,"Lengua y Literatura inglesas")</f>
        <v>0</v>
      </c>
      <c r="BG177" s="23">
        <f>AVERAGEIFS( E4:E451, D4:D451,"Lengua y Literatura inglesas")</f>
        <v>1.5</v>
      </c>
      <c r="BH177" s="23">
        <v>0</v>
      </c>
      <c r="BI177" s="23">
        <v>0</v>
      </c>
      <c r="BJ177" s="23">
        <f>AVERAGEIFS( E4:E451, A4:A451,"2015", D4:D451,"Lengua y Literatura inglesas")</f>
        <v>3</v>
      </c>
      <c r="BK177" s="23">
        <v>0</v>
      </c>
      <c r="BL177" s="23">
        <f>AVERAGEIFS( E4:E451, A4:A451,"2017", D4:D451,"Lengua y Literatura inglesas")</f>
        <v>0</v>
      </c>
      <c r="BM177" s="23">
        <v>1.5</v>
      </c>
      <c r="BN177" s="23">
        <v>0</v>
      </c>
      <c r="BO177" s="23">
        <v>0</v>
      </c>
      <c r="BP177" s="23">
        <v>3</v>
      </c>
      <c r="BQ177" s="23">
        <v>0</v>
      </c>
      <c r="BR177" s="23">
        <v>0</v>
      </c>
    </row>
    <row r="178" spans="1:70" ht="15" customHeight="1" x14ac:dyDescent="0.25">
      <c r="A178">
        <v>2017</v>
      </c>
      <c r="B178" s="14" t="s">
        <v>78</v>
      </c>
      <c r="C178" s="14" t="s">
        <v>80</v>
      </c>
      <c r="D178" s="14" t="s">
        <v>84</v>
      </c>
      <c r="E178">
        <v>3</v>
      </c>
      <c r="F178" t="s">
        <v>215</v>
      </c>
      <c r="G178" t="s">
        <v>233</v>
      </c>
      <c r="H178" t="s">
        <v>233</v>
      </c>
      <c r="I178" s="14" t="s">
        <v>234</v>
      </c>
      <c r="J178" s="14" t="s">
        <v>234</v>
      </c>
      <c r="K178" t="s">
        <v>234</v>
      </c>
      <c r="L178" s="14" t="s">
        <v>234</v>
      </c>
      <c r="M178" s="14">
        <v>43080</v>
      </c>
      <c r="N178" s="14" t="str">
        <f t="shared" si="2"/>
        <v>2017</v>
      </c>
      <c r="O178" s="64" t="s">
        <v>195</v>
      </c>
      <c r="P178" s="56"/>
      <c r="Q178" s="56"/>
      <c r="R178" s="56"/>
      <c r="S178" s="56"/>
      <c r="T178" s="57"/>
      <c r="U178" s="5">
        <f>COUNTIFS(   D4:D451,"Linguistica teórica y aplicada y Teoría de la literatura y literatura comparada")</f>
        <v>3</v>
      </c>
      <c r="V178" s="5">
        <f>COUNTIFS(   D4:D451,"Linguistica teórica y aplicada y Teoría de la literatura y literatura comparada",F4:F451,"Hombre")</f>
        <v>0</v>
      </c>
      <c r="W178" s="5">
        <f>COUNTIFS(   D4:D451,"Linguistica teórica y aplicada y Teoría de la literatura y literatura comparada",F4:F451,"Mujer")</f>
        <v>3</v>
      </c>
      <c r="X178" s="29">
        <f>COUNTIFS(   A4:A451,"2013", D4:D451,"Linguistica teórica y aplicada y Teoría de la literatura y literatura comparada")</f>
        <v>0</v>
      </c>
      <c r="Y178" s="5">
        <f>COUNTIFS(   A4:A451,"2014", D4:D451,"Linguistica teórica y aplicada y Teoría de la literatura y literatura comparada")</f>
        <v>0</v>
      </c>
      <c r="Z178" s="5">
        <f>COUNTIFS(   A4:A451,"2015", D4:D451,"Linguistica teórica y aplicada y Teoría de la literatura y literatura comparada")</f>
        <v>0</v>
      </c>
      <c r="AA178" s="5">
        <f>COUNTIFS(   A4:A451,"2016", D4:D451,"Linguistica teórica y aplicada y Teoría de la literatura y literatura comparada")</f>
        <v>1</v>
      </c>
      <c r="AB178" s="5">
        <f>COUNTIFS(   A4:A451,"2017", D4:D451,"Linguistica teórica y aplicada y Teoría de la literatura y literatura comparada")</f>
        <v>2</v>
      </c>
      <c r="AC178" s="29">
        <f>COUNTIFS(   N4:N451,"2014", D4:D451,"Linguistica teórica y aplicada y Teoría de la literatura y literatura comparada")</f>
        <v>0</v>
      </c>
      <c r="AD178" s="5">
        <f>COUNTIFS(   N4:N451,"2015", D4:D451,"Linguistica teórica y aplicada y Teoría de la literatura y literatura comparada")</f>
        <v>0</v>
      </c>
      <c r="AE178" s="5">
        <f>COUNTIFS(   N4:N451,"2016", D4:D451,"Linguistica teórica y aplicada y Teoría de la literatura y literatura comparada")</f>
        <v>1</v>
      </c>
      <c r="AF178" s="5">
        <f>COUNTIFS(   N4:N451,"2017", D4:D451,"Linguistica teórica y aplicada y Teoría de la literatura y literatura comparada")</f>
        <v>1</v>
      </c>
      <c r="AG178" s="5">
        <f>COUNTIFS(   N4:N451,"2018", D4:D451,"Linguistica teórica y aplicada y Teoría de la literatura y literatura comparada")</f>
        <v>1</v>
      </c>
      <c r="AH178" s="5">
        <f>COUNTIFS(   D4:D451,"Linguistica teórica y aplicada y Teoría de la literatura y literatura comparada",G4:G451,"Sí")</f>
        <v>1</v>
      </c>
      <c r="AI178" s="5">
        <f>COUNTIFS(   D4:D451,"Linguistica teórica y aplicada y Teoría de la literatura y literatura comparada",G4:G451,"No")</f>
        <v>2</v>
      </c>
      <c r="AJ178" s="5">
        <f>SUMIFS( E4:E451, D4:D451,"Linguistica teórica y aplicada y Teoría de la literatura y literatura comparada",G4:G451,"Sí")</f>
        <v>1</v>
      </c>
      <c r="AK178" s="5">
        <f>SUMIFS( E4:E451, D4:D451,"Linguistica teórica y aplicada y Teoría de la literatura y literatura comparada",G4:G451,"No")</f>
        <v>1</v>
      </c>
      <c r="AL178" s="5">
        <f>COUNTIFS(   D4:D451,"Linguistica teórica y aplicada y Teoría de la literatura y literatura comparada",H4:H451,"Sí")</f>
        <v>0</v>
      </c>
      <c r="AM178" s="5">
        <f>COUNTIFS(   D4:D451,"Linguistica teórica y aplicada y Teoría de la literatura y literatura comparada",I4:I451,"Sí")</f>
        <v>3</v>
      </c>
      <c r="AN178" s="5">
        <f>COUNTIFS(   D4:D451,"Linguistica teórica y aplicada y Teoría de la literatura y literatura comparada",I4:I451,"No")</f>
        <v>0</v>
      </c>
      <c r="AO178" s="5">
        <f>SUMIFS( E4:E451, D4:D451,"Linguistica teórica y aplicada y Teoría de la literatura y literatura comparada",I4:I451,"Sí")</f>
        <v>2</v>
      </c>
      <c r="AP178" s="5">
        <f>SUMIFS( E4:E451, D4:D451,"Linguistica teórica y aplicada y Teoría de la literatura y literatura comparada",I4:I451,"No")</f>
        <v>0</v>
      </c>
      <c r="AQ178" s="5">
        <f>COUNTIFS(   D4:D451,"Linguistica teórica y aplicada y Teoría de la literatura y literatura comparada",J4:J451,"Sí")</f>
        <v>1</v>
      </c>
      <c r="AR178" s="5">
        <f>COUNTIFS(   D4:D451,"Linguistica teórica y aplicada y Teoría de la literatura y literatura comparada",K4:K451,"Sí")</f>
        <v>2</v>
      </c>
      <c r="AS178" s="5">
        <f>COUNTIFS(   D4:D451,"Linguistica teórica y aplicada y Teoría de la literatura y literatura comparada",L4:L451,"Sí")</f>
        <v>3</v>
      </c>
      <c r="AT178" s="5">
        <f>SUMIFS( E4:E451, D4:D451,"Linguistica teórica y aplicada y Teoría de la literatura y literatura comparada")</f>
        <v>2</v>
      </c>
      <c r="AU178" s="5">
        <f>SUMIFS( E4:E451, F4:F451,"Hombre", D4:D451,"Linguistica teórica y aplicada y Teoría de la literatura y literatura comparada")</f>
        <v>0</v>
      </c>
      <c r="AV178" s="5">
        <f>SUMIFS( E4:E451, F4:F451,"Mujer", D4:D451,"Linguistica teórica y aplicada y Teoría de la literatura y literatura comparada")</f>
        <v>2</v>
      </c>
      <c r="AW178" s="29">
        <f>SUMIFS( E4:E451, A4:A451,"2013", D4:D451,"Linguistica teórica y aplicada y Teoría de la literatura y literatura comparada")</f>
        <v>0</v>
      </c>
      <c r="AX178" s="5">
        <f>SUMIFS( E4:E451, A4:A451,"2014", D4:D451,"Linguistica teórica y aplicada y Teoría de la literatura y literatura comparada")</f>
        <v>0</v>
      </c>
      <c r="AY178" s="5">
        <f>SUMIFS( E4:E451, A4:A451,"2015", D4:D451,"Linguistica teórica y aplicada y Teoría de la literatura y literatura comparada")</f>
        <v>0</v>
      </c>
      <c r="AZ178" s="5">
        <f>SUMIFS( E4:E451, A4:A451,"2016", D4:D451,"Linguistica teórica y aplicada y Teoría de la literatura y literatura comparada")</f>
        <v>1</v>
      </c>
      <c r="BA178" s="5">
        <f>SUMIFS( E4:E451, A4:A451,"2017", D4:D451,"Linguistica teórica y aplicada y Teoría de la literatura y literatura comparada")</f>
        <v>1</v>
      </c>
      <c r="BB178" s="29">
        <f>SUMIFS( E4:E451, N4:N451,"2014", D4:D451,"Linguistica teórica y aplicada y Teoría de la literatura y literatura comparada")</f>
        <v>0</v>
      </c>
      <c r="BC178" s="5">
        <f>SUMIFS( E4:E451, N4:N451,"2015", D4:D451,"Linguistica teórica y aplicada y Teoría de la literatura y literatura comparada")</f>
        <v>0</v>
      </c>
      <c r="BD178" s="5">
        <f>SUMIFS( E4:E451, N4:N451,"2016", D4:D451,"Linguistica teórica y aplicada y Teoría de la literatura y literatura comparada")</f>
        <v>1</v>
      </c>
      <c r="BE178" s="5">
        <f>SUMIFS( E4:E451, N4:N451,"2017", D4:D451,"Linguistica teórica y aplicada y Teoría de la literatura y literatura comparada")</f>
        <v>0</v>
      </c>
      <c r="BF178" s="5">
        <f>SUMIFS( E4:E451, N4:N451,"2018", D4:D451,"Linguistica teórica y aplicada y Teoría de la literatura y literatura comparada")</f>
        <v>1</v>
      </c>
      <c r="BG178" s="23">
        <f>AVERAGEIFS( E4:E451, D4:D451,"Linguistica teórica y aplicada y Teoría de la literatura y literatura comparada")</f>
        <v>0.66666666666666663</v>
      </c>
      <c r="BH178" s="23">
        <v>0</v>
      </c>
      <c r="BI178" s="23">
        <v>0</v>
      </c>
      <c r="BJ178" s="23">
        <v>0</v>
      </c>
      <c r="BK178" s="23">
        <f>AVERAGEIFS( E4:E451, A4:A451,"2016", D4:D451,"Linguistica teórica y aplicada y Teoría de la literatura y literatura comparada")</f>
        <v>1</v>
      </c>
      <c r="BL178" s="23">
        <f>AVERAGEIFS( E4:E451, A4:A451,"2017", D4:D451,"Linguistica teórica y aplicada y Teoría de la literatura y literatura comparada")</f>
        <v>0.5</v>
      </c>
      <c r="BM178" s="23">
        <v>0.66666666666666663</v>
      </c>
      <c r="BN178" s="23">
        <v>0</v>
      </c>
      <c r="BO178" s="23">
        <v>0</v>
      </c>
      <c r="BP178" s="23">
        <v>0</v>
      </c>
      <c r="BQ178" s="23">
        <v>1</v>
      </c>
      <c r="BR178" s="23">
        <v>0.5</v>
      </c>
    </row>
    <row r="179" spans="1:70" ht="15" customHeight="1" x14ac:dyDescent="0.25">
      <c r="A179">
        <v>2017</v>
      </c>
      <c r="B179" s="14" t="s">
        <v>78</v>
      </c>
      <c r="C179" s="14" t="s">
        <v>80</v>
      </c>
      <c r="D179" s="14" t="s">
        <v>87</v>
      </c>
      <c r="E179">
        <v>19</v>
      </c>
      <c r="F179" t="s">
        <v>211</v>
      </c>
      <c r="G179" t="s">
        <v>233</v>
      </c>
      <c r="H179" t="s">
        <v>233</v>
      </c>
      <c r="I179" s="14" t="s">
        <v>234</v>
      </c>
      <c r="J179" s="14" t="s">
        <v>233</v>
      </c>
      <c r="K179" t="s">
        <v>234</v>
      </c>
      <c r="L179" s="14" t="s">
        <v>234</v>
      </c>
      <c r="M179" s="14">
        <v>43068</v>
      </c>
      <c r="N179" s="14" t="str">
        <f t="shared" si="2"/>
        <v>2017</v>
      </c>
      <c r="O179" s="64" t="s">
        <v>194</v>
      </c>
      <c r="P179" s="56"/>
      <c r="Q179" s="56"/>
      <c r="R179" s="56"/>
      <c r="S179" s="56"/>
      <c r="T179" s="57"/>
      <c r="U179" s="5">
        <f>COUNTIFS(   D4:D451,"Literatura Española e hispanoamericana")</f>
        <v>5</v>
      </c>
      <c r="V179" s="5">
        <f>COUNTIFS(   D4:D451,"Literatura Española e hispanoamericana",F4:F451,"Hombre")</f>
        <v>0</v>
      </c>
      <c r="W179" s="5">
        <f>COUNTIFS(   D4:D451,"Literatura Española e hispanoamericana",F4:F451,"Mujer")</f>
        <v>5</v>
      </c>
      <c r="X179" s="29">
        <f>COUNTIFS(   A4:A451,"2013", D4:D451,"Literatura Española e hispanoamericana")</f>
        <v>0</v>
      </c>
      <c r="Y179" s="5">
        <f>COUNTIFS(   A4:A451,"2014", D4:D451,"Literatura Española e hispanoamericana")</f>
        <v>0</v>
      </c>
      <c r="Z179" s="5">
        <f>COUNTIFS(   A4:A451,"2015", D4:D451,"Literatura Española e hispanoamericana")</f>
        <v>0</v>
      </c>
      <c r="AA179" s="5">
        <f>COUNTIFS(   A4:A451,"2016", D4:D451,"Literatura Española e hispanoamericana")</f>
        <v>1</v>
      </c>
      <c r="AB179" s="5">
        <f>COUNTIFS(   A4:A451,"2017", D4:D451,"Literatura Española e hispanoamericana")</f>
        <v>4</v>
      </c>
      <c r="AC179" s="29">
        <f>COUNTIFS(   N4:N451,"2014", D4:D451,"Literatura Española e hispanoamericana")</f>
        <v>0</v>
      </c>
      <c r="AD179" s="5">
        <f>COUNTIFS(   N4:N451,"2015", D4:D451,"Literatura Española e hispanoamericana")</f>
        <v>0</v>
      </c>
      <c r="AE179" s="5">
        <f>COUNTIFS(   N4:N451,"2016", D4:D451,"Literatura Española e hispanoamericana")</f>
        <v>0</v>
      </c>
      <c r="AF179" s="5">
        <f>COUNTIFS(   N4:N451,"2017", D4:D451,"Literatura Española e hispanoamericana")</f>
        <v>3</v>
      </c>
      <c r="AG179" s="5">
        <f>COUNTIFS(   N4:N451,"2018", D4:D451,"Literatura Española e hispanoamericana")</f>
        <v>2</v>
      </c>
      <c r="AH179" s="5">
        <f>COUNTIFS(   D4:D451,"Literatura Española e hispanoamericana",G4:G451,"Sí")</f>
        <v>0</v>
      </c>
      <c r="AI179" s="5">
        <f>COUNTIFS(   D4:D451,"Literatura Española e hispanoamericana",G4:G451,"No")</f>
        <v>5</v>
      </c>
      <c r="AJ179" s="5">
        <f>SUMIFS( E4:E451, D4:D451,"Literatura Española e hispanoamericana",G4:G451,"Sí")</f>
        <v>0</v>
      </c>
      <c r="AK179" s="5">
        <f>SUMIFS( E4:E451, D4:D451,"Literatura Española e hispanoamericana",G4:G451,"No")</f>
        <v>4</v>
      </c>
      <c r="AL179" s="5">
        <f>COUNTIFS(   D4:D451,"Literatura Española e hispanoamericana",H4:H451,"Sí")</f>
        <v>0</v>
      </c>
      <c r="AM179" s="5">
        <f>COUNTIFS(   D4:D451,"Literatura Española e hispanoamericana",I4:I451,"Sí")</f>
        <v>1</v>
      </c>
      <c r="AN179" s="5">
        <f>COUNTIFS(   D4:D451,"Literatura Española e hispanoamericana",I4:I451,"No")</f>
        <v>4</v>
      </c>
      <c r="AO179" s="5">
        <f>SUMIFS( E4:E451, D4:D451,"Literatura Española e hispanoamericana",I4:I451,"Sí")</f>
        <v>2</v>
      </c>
      <c r="AP179" s="5">
        <f>SUMIFS( E4:E451, D4:D451,"Literatura Española e hispanoamericana",I4:I451,"No")</f>
        <v>2</v>
      </c>
      <c r="AQ179" s="5">
        <f>COUNTIFS(   D4:D451,"Literatura Española e hispanoamericana",J4:J451,"Sí")</f>
        <v>4</v>
      </c>
      <c r="AR179" s="5">
        <f>COUNTIFS(   D4:D451,"Literatura Española e hispanoamericana",K4:K451,"Sí")</f>
        <v>2</v>
      </c>
      <c r="AS179" s="5">
        <f>COUNTIFS(   D4:D451,"Literatura Española e hispanoamericana",L4:L451,"Sí")</f>
        <v>5</v>
      </c>
      <c r="AT179" s="5">
        <f>SUMIFS( E4:E451, D4:D451,"Literatura Española e hispanoamericana")</f>
        <v>4</v>
      </c>
      <c r="AU179" s="5">
        <f>SUMIFS( E4:E451, F4:F451,"Hombre", D4:D451,"Literatura Española e hispanoamericana")</f>
        <v>0</v>
      </c>
      <c r="AV179" s="5">
        <f>SUMIFS( E4:E451, F4:F451,"Mujer", D4:D451,"Literatura Española e hispanoamericana")</f>
        <v>4</v>
      </c>
      <c r="AW179" s="29">
        <f>SUMIFS( E4:E451, A4:A451,"2013", D4:D451,"Literatura Española e hispanoamericana")</f>
        <v>0</v>
      </c>
      <c r="AX179" s="5">
        <f>SUMIFS( E4:E451, A4:A451,"2014", D4:D451,"Literatura Española e hispanoamericana")</f>
        <v>0</v>
      </c>
      <c r="AY179" s="5">
        <f>SUMIFS( E4:E451, A4:A451,"2015", D4:D451,"Literatura Española e hispanoamericana")</f>
        <v>0</v>
      </c>
      <c r="AZ179" s="5">
        <f>SUMIFS( E4:E451, A4:A451,"2016", D4:D451,"Literatura Española e hispanoamericana")</f>
        <v>1</v>
      </c>
      <c r="BA179" s="5">
        <f>SUMIFS( E4:E451, A4:A451,"2017", D4:D451,"Literatura Española e hispanoamericana")</f>
        <v>3</v>
      </c>
      <c r="BB179" s="29">
        <f>SUMIFS( E4:E451, N4:N451,"2014", D4:D451,"Literatura Española e hispanoamericana")</f>
        <v>0</v>
      </c>
      <c r="BC179" s="5">
        <f>SUMIFS( E4:E451, N4:N451,"2015", D4:D451,"Literatura Española e hispanoamericana")</f>
        <v>0</v>
      </c>
      <c r="BD179" s="5">
        <f>SUMIFS( E4:E451, N4:N451,"2016", D4:D451,"Literatura Española e hispanoamericana")</f>
        <v>0</v>
      </c>
      <c r="BE179" s="5">
        <f>SUMIFS( E4:E451, N4:N451,"2017", D4:D451,"Literatura Española e hispanoamericana")</f>
        <v>1</v>
      </c>
      <c r="BF179" s="5">
        <f>SUMIFS( E4:E451, N4:N451,"2018", D4:D451,"Literatura Española e hispanoamericana")</f>
        <v>3</v>
      </c>
      <c r="BG179" s="23">
        <f>AVERAGEIFS( E4:E451, D4:D451,"Literatura Española e hispanoamericana")</f>
        <v>0.8</v>
      </c>
      <c r="BH179" s="23">
        <v>0</v>
      </c>
      <c r="BI179" s="23">
        <v>0</v>
      </c>
      <c r="BJ179" s="23">
        <v>0</v>
      </c>
      <c r="BK179" s="23">
        <f>AVERAGEIFS( E4:E451, A4:A451,"2016", D4:D451,"Literatura Española e hispanoamericana")</f>
        <v>1</v>
      </c>
      <c r="BL179" s="23">
        <f>AVERAGEIFS( E4:E451, A4:A451,"2017", D4:D451,"Literatura Española e hispanoamericana")</f>
        <v>0.75</v>
      </c>
      <c r="BM179" s="23">
        <v>0.8</v>
      </c>
      <c r="BN179" s="23">
        <v>0</v>
      </c>
      <c r="BO179" s="23">
        <v>0</v>
      </c>
      <c r="BP179" s="23">
        <v>0</v>
      </c>
      <c r="BQ179" s="23">
        <v>1</v>
      </c>
      <c r="BR179" s="23">
        <v>0.75</v>
      </c>
    </row>
    <row r="180" spans="1:70" ht="15" customHeight="1" x14ac:dyDescent="0.25">
      <c r="A180">
        <v>2016</v>
      </c>
      <c r="B180" s="14" t="s">
        <v>78</v>
      </c>
      <c r="C180" s="14" t="s">
        <v>80</v>
      </c>
      <c r="D180" s="14" t="s">
        <v>85</v>
      </c>
      <c r="E180">
        <v>6</v>
      </c>
      <c r="F180" t="s">
        <v>215</v>
      </c>
      <c r="G180" t="s">
        <v>233</v>
      </c>
      <c r="H180" t="s">
        <v>233</v>
      </c>
      <c r="I180" s="14" t="s">
        <v>234</v>
      </c>
      <c r="J180" s="14" t="s">
        <v>234</v>
      </c>
      <c r="K180" s="14" t="s">
        <v>233</v>
      </c>
      <c r="L180" s="14" t="s">
        <v>234</v>
      </c>
      <c r="M180" s="14">
        <v>42879</v>
      </c>
      <c r="N180" s="14" t="str">
        <f t="shared" si="2"/>
        <v>2017</v>
      </c>
      <c r="O180" s="64" t="s">
        <v>196</v>
      </c>
      <c r="P180" s="56"/>
      <c r="Q180" s="56"/>
      <c r="R180" s="56"/>
      <c r="S180" s="56"/>
      <c r="T180" s="57"/>
      <c r="U180" s="5">
        <f>COUNTIFS(   D4:D451,"Traducción e Interpretación")</f>
        <v>3</v>
      </c>
      <c r="V180" s="5">
        <f>COUNTIFS(   D4:D451,"Traducción e Interpretación",F4:F451,"Hombre")</f>
        <v>1</v>
      </c>
      <c r="W180" s="5">
        <f>COUNTIFS(   D4:D451,"Traducción e Interpretación",F4:F451,"Mujer")</f>
        <v>2</v>
      </c>
      <c r="X180" s="29">
        <f>COUNTIFS(   A4:A451,"2013", D4:D451,"Traducción e Interpretación")</f>
        <v>0</v>
      </c>
      <c r="Y180" s="5">
        <f>COUNTIFS(   A4:A451,"2014", D4:D451,"Traducción e Interpretación")</f>
        <v>0</v>
      </c>
      <c r="Z180" s="5">
        <f>COUNTIFS(   A4:A451,"2015", D4:D451,"Traducción e Interpretación")</f>
        <v>1</v>
      </c>
      <c r="AA180" s="5">
        <f>COUNTIFS(   A4:A451,"2016", D4:D451,"Traducción e Interpretación")</f>
        <v>1</v>
      </c>
      <c r="AB180" s="5">
        <f>COUNTIFS(   A4:A451,"2017", D4:D451,"Traducción e Interpretación")</f>
        <v>1</v>
      </c>
      <c r="AC180" s="29">
        <f>COUNTIFS(   N4:N451,"2014", D4:D451,"Traducción e Interpretación")</f>
        <v>0</v>
      </c>
      <c r="AD180" s="5">
        <f>COUNTIFS(   N4:N451,"2015", D4:D451,"Traducción e Interpretación")</f>
        <v>0</v>
      </c>
      <c r="AE180" s="5">
        <f>COUNTIFS(   N4:N451,"2016", D4:D451,"Traducción e Interpretación")</f>
        <v>2</v>
      </c>
      <c r="AF180" s="5">
        <f>COUNTIFS(   N4:N451,"2017", D4:D451,"Traducción e Interpretación")</f>
        <v>0</v>
      </c>
      <c r="AG180" s="5">
        <f>COUNTIFS(   N4:N451,"2018", D4:D451,"Traducción e Interpretación")</f>
        <v>1</v>
      </c>
      <c r="AH180" s="5">
        <f>COUNTIFS(   D4:D451,"Traducción e Interpretación",G4:G451,"Sí")</f>
        <v>0</v>
      </c>
      <c r="AI180" s="5">
        <f>COUNTIFS(   D4:D451,"Traducción e Interpretación",G4:G451,"No")</f>
        <v>3</v>
      </c>
      <c r="AJ180" s="5">
        <f>SUMIFS( E4:E451, D4:D451,"Traducción e Interpretación",G4:G451,"Sí")</f>
        <v>0</v>
      </c>
      <c r="AK180" s="5">
        <f>SUMIFS( E4:E451, D4:D451,"Traducción e Interpretación",G4:G451,"No")</f>
        <v>7</v>
      </c>
      <c r="AL180" s="5">
        <f>COUNTIFS(   D4:D451,"Traducción e Interpretación",H4:H451,"Sí")</f>
        <v>0</v>
      </c>
      <c r="AM180" s="5">
        <f>COUNTIFS(   D4:D451,"Traducción e Interpretación",I4:I451,"Sí")</f>
        <v>2</v>
      </c>
      <c r="AN180" s="5">
        <f>COUNTIFS(   D4:D451,"Traducción e Interpretación",I4:I451,"No")</f>
        <v>1</v>
      </c>
      <c r="AO180" s="5">
        <f>SUMIFS( E4:E451, D4:D451,"Traducción e Interpretación",I4:I451,"Sí")</f>
        <v>6</v>
      </c>
      <c r="AP180" s="5">
        <f>SUMIFS( E4:E451, D4:D451,"Traducción e Interpretación",I4:I451,"No")</f>
        <v>1</v>
      </c>
      <c r="AQ180" s="5">
        <f>COUNTIFS(   D4:D451,"Traducción e Interpretación",J4:J451,"Sí")</f>
        <v>3</v>
      </c>
      <c r="AR180" s="5">
        <f>COUNTIFS(   D4:D451,"Traducción e Interpretación",K4:K451,"Sí")</f>
        <v>1</v>
      </c>
      <c r="AS180" s="5">
        <f>COUNTIFS(   D4:D451,"Traducción e Interpretación",L4:L451,"Sí")</f>
        <v>3</v>
      </c>
      <c r="AT180" s="5">
        <f>SUMIFS( E4:E451, D4:D451,"Traducción e Interpretación")</f>
        <v>7</v>
      </c>
      <c r="AU180" s="5">
        <f>SUMIFS( E4:E451, F4:F451,"Hombre", D4:D451,"Traducción e Interpretación")</f>
        <v>5</v>
      </c>
      <c r="AV180" s="5">
        <f>SUMIFS( E4:E451, F4:F451,"Mujer", D4:D451,"Traducción e Interpretación")</f>
        <v>2</v>
      </c>
      <c r="AW180" s="29">
        <f>SUMIFS( E4:E451, A4:A451,"2013", D4:D451,"Traducción e Interpretación")</f>
        <v>0</v>
      </c>
      <c r="AX180" s="5">
        <f>SUMIFS( E4:E451, A4:A451,"2014", D4:D451,"Traducción e Interpretación")</f>
        <v>0</v>
      </c>
      <c r="AY180" s="5">
        <f>SUMIFS( E4:E451, A4:A451,"2015", D4:D451,"Traducción e Interpretación")</f>
        <v>5</v>
      </c>
      <c r="AZ180" s="5">
        <f>SUMIFS( E4:E451, A4:A451,"2016", D4:D451,"Traducción e Interpretación")</f>
        <v>1</v>
      </c>
      <c r="BA180" s="5">
        <f>SUMIFS( E4:E451, A4:A451,"2017", D4:D451,"Traducción e Interpretación")</f>
        <v>1</v>
      </c>
      <c r="BB180" s="29">
        <f>SUMIFS( E4:E451, N4:N451,"2014", D4:D451,"Traducción e Interpretación")</f>
        <v>0</v>
      </c>
      <c r="BC180" s="5">
        <f>SUMIFS( E4:E451, N4:N451,"2015", D4:D451,"Traducción e Interpretación")</f>
        <v>0</v>
      </c>
      <c r="BD180" s="5">
        <f>SUMIFS( E4:E451, N4:N451,"2016", D4:D451,"Traducción e Interpretación")</f>
        <v>6</v>
      </c>
      <c r="BE180" s="5">
        <f>SUMIFS( E4:E451, N4:N451,"2017", D4:D451,"Traducción e Interpretación")</f>
        <v>0</v>
      </c>
      <c r="BF180" s="5">
        <f>SUMIFS( E4:E451, N4:N451,"2018", D4:D451,"Traducción e Interpretación")</f>
        <v>1</v>
      </c>
      <c r="BG180" s="23">
        <f>AVERAGEIFS( E4:E451, D4:D451,"Traducción e Interpretación")</f>
        <v>2.3333333333333335</v>
      </c>
      <c r="BH180" s="23">
        <v>0</v>
      </c>
      <c r="BI180" s="23">
        <v>0</v>
      </c>
      <c r="BJ180" s="23">
        <f>AVERAGEIFS( E4:E451, A4:A451,"2015", D4:D451,"Traducción e Interpretación")</f>
        <v>5</v>
      </c>
      <c r="BK180" s="23">
        <f>AVERAGEIFS( E4:E451, A4:A451,"2016", D4:D451,"Traducción e Interpretación")</f>
        <v>1</v>
      </c>
      <c r="BL180" s="23">
        <f>AVERAGEIFS( E4:E451, A4:A451,"2017", D4:D451,"Traducción e Interpretación")</f>
        <v>1</v>
      </c>
      <c r="BM180" s="23">
        <v>2.3333333333333335</v>
      </c>
      <c r="BN180" s="23">
        <v>0</v>
      </c>
      <c r="BO180" s="23">
        <v>0</v>
      </c>
      <c r="BP180" s="23">
        <v>5</v>
      </c>
      <c r="BQ180" s="23">
        <v>1</v>
      </c>
      <c r="BR180" s="23">
        <v>1</v>
      </c>
    </row>
    <row r="181" spans="1:70" x14ac:dyDescent="0.25">
      <c r="A181">
        <v>2016</v>
      </c>
      <c r="B181" s="14" t="s">
        <v>78</v>
      </c>
      <c r="C181" s="14" t="s">
        <v>80</v>
      </c>
      <c r="D181" s="14" t="s">
        <v>86</v>
      </c>
      <c r="E181">
        <v>2</v>
      </c>
      <c r="F181" t="s">
        <v>211</v>
      </c>
      <c r="G181" t="s">
        <v>233</v>
      </c>
      <c r="H181" t="s">
        <v>233</v>
      </c>
      <c r="I181" s="14" t="s">
        <v>234</v>
      </c>
      <c r="J181" s="14" t="s">
        <v>234</v>
      </c>
      <c r="K181" t="s">
        <v>234</v>
      </c>
      <c r="L181" s="14" t="s">
        <v>234</v>
      </c>
      <c r="M181" s="14">
        <v>42746</v>
      </c>
      <c r="N181" s="14" t="str">
        <f t="shared" si="2"/>
        <v>2017</v>
      </c>
      <c r="T181" s="34" t="s">
        <v>242</v>
      </c>
      <c r="U181" s="2">
        <f t="shared" ref="U181:AB181" si="5">SUM(U3,U40,U115)</f>
        <v>448</v>
      </c>
      <c r="V181" s="2">
        <f t="shared" si="5"/>
        <v>229</v>
      </c>
      <c r="W181" s="2">
        <f t="shared" si="5"/>
        <v>219</v>
      </c>
      <c r="X181" s="2">
        <f t="shared" si="5"/>
        <v>1</v>
      </c>
      <c r="Y181" s="2">
        <f t="shared" si="5"/>
        <v>19</v>
      </c>
      <c r="Z181" s="2">
        <f t="shared" si="5"/>
        <v>54</v>
      </c>
      <c r="AA181" s="2">
        <f t="shared" si="5"/>
        <v>176</v>
      </c>
      <c r="AB181" s="2">
        <f t="shared" si="5"/>
        <v>198</v>
      </c>
      <c r="AC181" s="2">
        <f t="shared" ref="AC181:AG181" si="6">SUM(AC3,AC40,AC115)</f>
        <v>8</v>
      </c>
      <c r="AD181" s="2">
        <f t="shared" si="6"/>
        <v>21</v>
      </c>
      <c r="AE181" s="2">
        <f t="shared" si="6"/>
        <v>78</v>
      </c>
      <c r="AF181" s="2">
        <f t="shared" si="6"/>
        <v>225</v>
      </c>
      <c r="AG181" s="2">
        <f t="shared" si="6"/>
        <v>116</v>
      </c>
      <c r="AH181" s="2">
        <f t="shared" ref="AH181:AM181" si="7">SUM(AH3,AH40,AH115)</f>
        <v>16</v>
      </c>
      <c r="AI181" s="2">
        <f t="shared" si="7"/>
        <v>432</v>
      </c>
      <c r="AJ181" s="2">
        <f>SUM(AJ3,AJ40,AJ115)</f>
        <v>68</v>
      </c>
      <c r="AK181" s="2">
        <f t="shared" si="7"/>
        <v>3125</v>
      </c>
      <c r="AL181" s="2">
        <f t="shared" si="7"/>
        <v>62</v>
      </c>
      <c r="AM181" s="2">
        <f t="shared" si="7"/>
        <v>165</v>
      </c>
      <c r="AN181" s="2">
        <f t="shared" ref="AN181:AP181" si="8">SUM(AN3,AN40,AN115)</f>
        <v>283</v>
      </c>
      <c r="AO181" s="2">
        <f>SUM(AO3,AO40,AO115)</f>
        <v>1665</v>
      </c>
      <c r="AP181" s="2">
        <f t="shared" si="8"/>
        <v>1528</v>
      </c>
      <c r="AQ181" s="2">
        <f t="shared" ref="AQ181:AT181" si="9">SUM(AQ3,AQ40,AQ115)</f>
        <v>379</v>
      </c>
      <c r="AR181" s="2">
        <f t="shared" si="9"/>
        <v>191</v>
      </c>
      <c r="AS181" s="2">
        <f t="shared" si="9"/>
        <v>412</v>
      </c>
      <c r="AT181" s="2">
        <f t="shared" si="9"/>
        <v>3193</v>
      </c>
      <c r="AU181" s="2">
        <f>SUM(AU115,AU40,AU3)</f>
        <v>1807</v>
      </c>
      <c r="AV181" s="2">
        <f t="shared" ref="AV181" si="10">SUM(AV115,AV40,AV3)</f>
        <v>1386</v>
      </c>
      <c r="AW181" s="2">
        <f>SUM(AW115,AW40,AW3)</f>
        <v>10</v>
      </c>
      <c r="AX181" s="2">
        <f>SUM(AX115,AX40,AX3)</f>
        <v>165</v>
      </c>
      <c r="AY181" s="2">
        <f>SUM(AY115,AY40,AY3)</f>
        <v>658</v>
      </c>
      <c r="AZ181" s="2">
        <f>SUM(AZ115,AZ40,AZ3)</f>
        <v>1068</v>
      </c>
      <c r="BA181" s="2">
        <f>SUM(BA115,BA40,BA3)</f>
        <v>1292</v>
      </c>
      <c r="BB181" s="2">
        <f t="shared" ref="BB181:BE181" si="11">SUM(BB115,BB40,BB3)</f>
        <v>58</v>
      </c>
      <c r="BC181" s="2">
        <f t="shared" si="11"/>
        <v>194</v>
      </c>
      <c r="BD181" s="2">
        <f t="shared" si="11"/>
        <v>849</v>
      </c>
      <c r="BE181" s="2">
        <f t="shared" si="11"/>
        <v>1272</v>
      </c>
      <c r="BF181" s="2">
        <f>SUM(BF115,BF40,BF3)</f>
        <v>820</v>
      </c>
      <c r="BG181" s="24">
        <f>AT181/U181</f>
        <v>7.1272321428571432</v>
      </c>
      <c r="BH181" s="24">
        <f>AVERAGEIFS( E4:E451, A4:A451,"2013")</f>
        <v>10</v>
      </c>
      <c r="BI181" s="24">
        <f>AVERAGEIFS( E4:E451, A4:A451,"2014")</f>
        <v>8.6842105263157894</v>
      </c>
      <c r="BJ181" s="24">
        <f>AVERAGEIFS( E4:E451, A4:A451,"2015")</f>
        <v>12.185185185185185</v>
      </c>
      <c r="BK181" s="24">
        <f>AVERAGEIFS( E4:E451, A4:A451,"2016")</f>
        <v>6.0681818181818183</v>
      </c>
      <c r="BL181" s="24">
        <f>AVERAGEIFS( E4:E451, A4:A451,"2017")</f>
        <v>6.5252525252525251</v>
      </c>
      <c r="BM181" s="24">
        <f>AVERAGE(AT115,AT40,AT3)</f>
        <v>1064.3333333333333</v>
      </c>
      <c r="BN181" s="24">
        <f>AVERAGE(AW115,AW40,AW3)</f>
        <v>3.3333333333333335</v>
      </c>
      <c r="BO181" s="24">
        <f>AVERAGE(AX115,AX40,AX3)</f>
        <v>55</v>
      </c>
      <c r="BP181" s="24">
        <f t="shared" ref="BP181" si="12">AVERAGE(AY115,AY40,AY3)</f>
        <v>219.33333333333334</v>
      </c>
      <c r="BQ181" s="24">
        <f>AVERAGE(AZ115,AZ40,AZ3)</f>
        <v>356</v>
      </c>
      <c r="BR181" s="24">
        <f>AVERAGE(BA115,BA40,BA3)</f>
        <v>430.66666666666669</v>
      </c>
    </row>
    <row r="182" spans="1:70" x14ac:dyDescent="0.25">
      <c r="A182">
        <v>2015</v>
      </c>
      <c r="B182" s="14" t="s">
        <v>78</v>
      </c>
      <c r="C182" s="14" t="s">
        <v>80</v>
      </c>
      <c r="D182" s="14" t="s">
        <v>87</v>
      </c>
      <c r="E182">
        <v>4</v>
      </c>
      <c r="F182" t="s">
        <v>215</v>
      </c>
      <c r="G182" t="s">
        <v>234</v>
      </c>
      <c r="H182" t="s">
        <v>233</v>
      </c>
      <c r="I182" s="14" t="s">
        <v>233</v>
      </c>
      <c r="J182" s="14" t="s">
        <v>234</v>
      </c>
      <c r="K182" t="s">
        <v>234</v>
      </c>
      <c r="L182" s="14" t="s">
        <v>234</v>
      </c>
      <c r="M182" s="14">
        <v>42468</v>
      </c>
      <c r="N182" s="14" t="str">
        <f t="shared" si="2"/>
        <v>2016</v>
      </c>
      <c r="AH182">
        <v>68</v>
      </c>
      <c r="AI182">
        <v>3125</v>
      </c>
      <c r="AL182">
        <f>448-AL181</f>
        <v>386</v>
      </c>
      <c r="AM182">
        <v>1665</v>
      </c>
      <c r="AN182">
        <v>1528</v>
      </c>
    </row>
    <row r="183" spans="1:70" x14ac:dyDescent="0.25">
      <c r="A183">
        <v>2017</v>
      </c>
      <c r="B183" s="14" t="s">
        <v>78</v>
      </c>
      <c r="C183" s="14" t="s">
        <v>88</v>
      </c>
      <c r="D183" s="14" t="s">
        <v>89</v>
      </c>
      <c r="E183">
        <v>8</v>
      </c>
      <c r="F183" t="s">
        <v>215</v>
      </c>
      <c r="G183" t="s">
        <v>234</v>
      </c>
      <c r="H183" t="s">
        <v>233</v>
      </c>
      <c r="I183" s="14" t="s">
        <v>233</v>
      </c>
      <c r="J183" s="14" t="s">
        <v>234</v>
      </c>
      <c r="K183" t="s">
        <v>234</v>
      </c>
      <c r="L183" s="14" t="s">
        <v>234</v>
      </c>
      <c r="M183" s="14">
        <v>43119</v>
      </c>
      <c r="N183" s="14" t="str">
        <f t="shared" si="2"/>
        <v>2018</v>
      </c>
      <c r="AL183" t="s">
        <v>261</v>
      </c>
    </row>
    <row r="184" spans="1:70" x14ac:dyDescent="0.25">
      <c r="A184">
        <v>2017</v>
      </c>
      <c r="B184" s="14" t="s">
        <v>78</v>
      </c>
      <c r="C184" s="14" t="s">
        <v>88</v>
      </c>
      <c r="D184" s="14" t="s">
        <v>90</v>
      </c>
      <c r="E184">
        <v>25</v>
      </c>
      <c r="F184" t="s">
        <v>211</v>
      </c>
      <c r="G184" t="s">
        <v>233</v>
      </c>
      <c r="H184" t="s">
        <v>234</v>
      </c>
      <c r="I184" s="14" t="s">
        <v>234</v>
      </c>
      <c r="J184" s="14" t="s">
        <v>234</v>
      </c>
      <c r="K184" t="s">
        <v>234</v>
      </c>
      <c r="L184" s="14" t="s">
        <v>234</v>
      </c>
      <c r="M184" s="14">
        <v>43084</v>
      </c>
      <c r="N184" s="14" t="str">
        <f t="shared" si="2"/>
        <v>2017</v>
      </c>
    </row>
    <row r="185" spans="1:70" x14ac:dyDescent="0.25">
      <c r="A185">
        <v>2016</v>
      </c>
      <c r="B185" s="14" t="s">
        <v>78</v>
      </c>
      <c r="C185" s="14" t="s">
        <v>88</v>
      </c>
      <c r="D185" s="14" t="s">
        <v>89</v>
      </c>
      <c r="E185">
        <v>1</v>
      </c>
      <c r="F185" t="s">
        <v>211</v>
      </c>
      <c r="G185" t="s">
        <v>233</v>
      </c>
      <c r="H185" t="s">
        <v>233</v>
      </c>
      <c r="I185" s="14" t="s">
        <v>233</v>
      </c>
      <c r="J185" s="14" t="s">
        <v>234</v>
      </c>
      <c r="K185" s="14" t="s">
        <v>233</v>
      </c>
      <c r="L185" s="14" t="s">
        <v>234</v>
      </c>
      <c r="M185" s="14">
        <v>42825</v>
      </c>
      <c r="N185" s="14" t="str">
        <f t="shared" si="2"/>
        <v>2017</v>
      </c>
    </row>
    <row r="186" spans="1:70" x14ac:dyDescent="0.25">
      <c r="A186">
        <v>2016</v>
      </c>
      <c r="B186" s="14" t="s">
        <v>78</v>
      </c>
      <c r="C186" s="14" t="s">
        <v>88</v>
      </c>
      <c r="D186" s="14" t="s">
        <v>90</v>
      </c>
      <c r="E186">
        <v>7</v>
      </c>
      <c r="F186" t="s">
        <v>211</v>
      </c>
      <c r="G186" t="s">
        <v>233</v>
      </c>
      <c r="H186" t="s">
        <v>233</v>
      </c>
      <c r="I186" s="14" t="s">
        <v>234</v>
      </c>
      <c r="J186" s="14" t="s">
        <v>234</v>
      </c>
      <c r="K186" s="14" t="s">
        <v>233</v>
      </c>
      <c r="L186" s="14" t="s">
        <v>234</v>
      </c>
      <c r="M186" s="14">
        <v>42720</v>
      </c>
      <c r="N186" s="14" t="str">
        <f t="shared" si="2"/>
        <v>2016</v>
      </c>
    </row>
    <row r="187" spans="1:70" x14ac:dyDescent="0.25">
      <c r="A187">
        <v>2016</v>
      </c>
      <c r="B187" s="14" t="s">
        <v>78</v>
      </c>
      <c r="C187" s="14" t="s">
        <v>88</v>
      </c>
      <c r="D187" s="14" t="s">
        <v>90</v>
      </c>
      <c r="E187">
        <v>5</v>
      </c>
      <c r="F187" t="s">
        <v>215</v>
      </c>
      <c r="G187" t="s">
        <v>233</v>
      </c>
      <c r="H187" t="s">
        <v>234</v>
      </c>
      <c r="I187" s="14" t="s">
        <v>233</v>
      </c>
      <c r="J187" s="14" t="s">
        <v>234</v>
      </c>
      <c r="K187" s="14" t="s">
        <v>233</v>
      </c>
      <c r="L187" s="14" t="s">
        <v>234</v>
      </c>
      <c r="M187" s="14">
        <v>42720</v>
      </c>
      <c r="N187" s="14" t="str">
        <f t="shared" si="2"/>
        <v>2016</v>
      </c>
    </row>
    <row r="188" spans="1:70" x14ac:dyDescent="0.25">
      <c r="A188">
        <v>2014</v>
      </c>
      <c r="B188" s="14" t="s">
        <v>78</v>
      </c>
      <c r="C188" s="14" t="s">
        <v>88</v>
      </c>
      <c r="D188" s="14" t="s">
        <v>89</v>
      </c>
      <c r="E188">
        <v>6</v>
      </c>
      <c r="F188" t="s">
        <v>211</v>
      </c>
      <c r="G188" t="s">
        <v>233</v>
      </c>
      <c r="H188" t="s">
        <v>234</v>
      </c>
      <c r="I188" s="14" t="s">
        <v>234</v>
      </c>
      <c r="J188" s="14" t="s">
        <v>234</v>
      </c>
      <c r="K188" s="14" t="s">
        <v>233</v>
      </c>
      <c r="L188" s="14" t="s">
        <v>234</v>
      </c>
      <c r="M188" s="14">
        <v>42046</v>
      </c>
      <c r="N188" s="14" t="str">
        <f t="shared" si="2"/>
        <v>2015</v>
      </c>
    </row>
    <row r="189" spans="1:70" x14ac:dyDescent="0.25">
      <c r="A189">
        <v>2014</v>
      </c>
      <c r="B189" s="14" t="s">
        <v>78</v>
      </c>
      <c r="C189" s="14" t="s">
        <v>88</v>
      </c>
      <c r="D189" s="14" t="s">
        <v>91</v>
      </c>
      <c r="E189">
        <v>17</v>
      </c>
      <c r="F189" t="s">
        <v>215</v>
      </c>
      <c r="G189" t="s">
        <v>233</v>
      </c>
      <c r="H189" t="s">
        <v>233</v>
      </c>
      <c r="I189" s="14" t="s">
        <v>233</v>
      </c>
      <c r="J189" s="14" t="s">
        <v>234</v>
      </c>
      <c r="K189" s="14" t="s">
        <v>233</v>
      </c>
      <c r="L189" s="14" t="s">
        <v>234</v>
      </c>
      <c r="M189" s="14">
        <v>42046</v>
      </c>
      <c r="N189" s="14" t="str">
        <f t="shared" si="2"/>
        <v>2015</v>
      </c>
      <c r="AI189" s="20"/>
      <c r="AJ189"/>
      <c r="AK189"/>
      <c r="AL189" s="20"/>
      <c r="AM189" s="20"/>
      <c r="AN189" s="20"/>
      <c r="AO189"/>
      <c r="AP189"/>
      <c r="AT189"/>
    </row>
    <row r="190" spans="1:70" x14ac:dyDescent="0.25">
      <c r="A190">
        <v>2017</v>
      </c>
      <c r="B190" s="14" t="s">
        <v>78</v>
      </c>
      <c r="C190" s="14" t="s">
        <v>92</v>
      </c>
      <c r="D190" s="14" t="s">
        <v>93</v>
      </c>
      <c r="E190">
        <v>2</v>
      </c>
      <c r="F190" t="s">
        <v>211</v>
      </c>
      <c r="G190" t="s">
        <v>233</v>
      </c>
      <c r="H190" t="s">
        <v>233</v>
      </c>
      <c r="I190" s="14" t="s">
        <v>233</v>
      </c>
      <c r="J190" s="14" t="s">
        <v>233</v>
      </c>
      <c r="K190" t="s">
        <v>234</v>
      </c>
      <c r="L190" s="14" t="s">
        <v>233</v>
      </c>
      <c r="M190" s="14">
        <v>43017</v>
      </c>
      <c r="N190" s="14" t="str">
        <f t="shared" si="2"/>
        <v>2017</v>
      </c>
      <c r="AI190" s="20"/>
      <c r="AJ190"/>
      <c r="AK190"/>
      <c r="AL190" s="20"/>
      <c r="AM190" s="20"/>
      <c r="AN190" s="20"/>
      <c r="AO190"/>
      <c r="AP190"/>
      <c r="AT190"/>
    </row>
    <row r="191" spans="1:70" x14ac:dyDescent="0.25">
      <c r="A191">
        <v>2016</v>
      </c>
      <c r="B191" s="14" t="s">
        <v>78</v>
      </c>
      <c r="C191" s="14" t="s">
        <v>92</v>
      </c>
      <c r="D191" s="14" t="s">
        <v>94</v>
      </c>
      <c r="E191">
        <v>2</v>
      </c>
      <c r="F191" t="s">
        <v>211</v>
      </c>
      <c r="G191" t="s">
        <v>233</v>
      </c>
      <c r="H191" t="s">
        <v>233</v>
      </c>
      <c r="I191" s="14" t="s">
        <v>233</v>
      </c>
      <c r="J191" s="14" t="s">
        <v>234</v>
      </c>
      <c r="K191" s="14" t="s">
        <v>233</v>
      </c>
      <c r="L191" s="14" t="s">
        <v>234</v>
      </c>
      <c r="M191" s="14">
        <v>42934</v>
      </c>
      <c r="N191" s="14" t="str">
        <f t="shared" si="2"/>
        <v>2017</v>
      </c>
      <c r="AI191" s="20"/>
      <c r="AJ191"/>
      <c r="AK191"/>
      <c r="AL191" s="20"/>
      <c r="AM191" s="20"/>
      <c r="AN191" s="20"/>
      <c r="AO191"/>
      <c r="AP191"/>
      <c r="AT191"/>
    </row>
    <row r="192" spans="1:70" x14ac:dyDescent="0.25">
      <c r="A192">
        <v>2017</v>
      </c>
      <c r="B192" s="14" t="s">
        <v>78</v>
      </c>
      <c r="C192" s="14" t="s">
        <v>95</v>
      </c>
      <c r="D192" s="14" t="s">
        <v>96</v>
      </c>
      <c r="E192">
        <v>2</v>
      </c>
      <c r="F192" t="s">
        <v>215</v>
      </c>
      <c r="G192" t="s">
        <v>233</v>
      </c>
      <c r="H192" t="s">
        <v>233</v>
      </c>
      <c r="I192" s="14" t="s">
        <v>234</v>
      </c>
      <c r="J192" s="14" t="s">
        <v>233</v>
      </c>
      <c r="K192" s="14" t="s">
        <v>233</v>
      </c>
      <c r="L192" s="14" t="s">
        <v>233</v>
      </c>
      <c r="M192" s="14">
        <v>43256</v>
      </c>
      <c r="N192" s="14" t="str">
        <f t="shared" si="2"/>
        <v>2018</v>
      </c>
      <c r="AI192" s="20"/>
      <c r="AJ192"/>
      <c r="AK192"/>
      <c r="AL192" s="20"/>
      <c r="AM192" s="20"/>
      <c r="AN192" s="20"/>
      <c r="AO192"/>
      <c r="AP192"/>
      <c r="AT192"/>
    </row>
    <row r="193" spans="1:46" x14ac:dyDescent="0.25">
      <c r="A193">
        <v>2017</v>
      </c>
      <c r="B193" s="14" t="s">
        <v>78</v>
      </c>
      <c r="C193" s="14" t="s">
        <v>95</v>
      </c>
      <c r="D193" s="14" t="s">
        <v>97</v>
      </c>
      <c r="E193">
        <v>7</v>
      </c>
      <c r="F193" t="s">
        <v>211</v>
      </c>
      <c r="G193" t="s">
        <v>233</v>
      </c>
      <c r="H193" t="s">
        <v>233</v>
      </c>
      <c r="I193" s="14" t="s">
        <v>233</v>
      </c>
      <c r="J193" s="14" t="s">
        <v>234</v>
      </c>
      <c r="K193" s="14" t="s">
        <v>233</v>
      </c>
      <c r="L193" s="14" t="s">
        <v>234</v>
      </c>
      <c r="M193" s="14">
        <v>43224</v>
      </c>
      <c r="N193" s="14" t="str">
        <f t="shared" si="2"/>
        <v>2018</v>
      </c>
      <c r="AI193" s="20"/>
      <c r="AJ193"/>
      <c r="AK193"/>
      <c r="AL193" s="20"/>
      <c r="AM193" s="20"/>
      <c r="AN193" s="20"/>
      <c r="AO193"/>
      <c r="AP193"/>
      <c r="AT193"/>
    </row>
    <row r="194" spans="1:46" x14ac:dyDescent="0.25">
      <c r="A194">
        <v>2017</v>
      </c>
      <c r="B194" s="14" t="s">
        <v>78</v>
      </c>
      <c r="C194" s="14" t="s">
        <v>95</v>
      </c>
      <c r="D194" s="14" t="s">
        <v>96</v>
      </c>
      <c r="E194">
        <v>6</v>
      </c>
      <c r="F194" t="s">
        <v>211</v>
      </c>
      <c r="G194" t="s">
        <v>234</v>
      </c>
      <c r="H194" t="s">
        <v>233</v>
      </c>
      <c r="I194" s="14" t="s">
        <v>233</v>
      </c>
      <c r="J194" s="14" t="s">
        <v>234</v>
      </c>
      <c r="K194" s="14" t="s">
        <v>233</v>
      </c>
      <c r="L194" s="14" t="s">
        <v>234</v>
      </c>
      <c r="M194" s="14">
        <v>43203</v>
      </c>
      <c r="N194" s="14" t="str">
        <f t="shared" si="2"/>
        <v>2018</v>
      </c>
      <c r="AI194" s="20"/>
      <c r="AJ194"/>
      <c r="AK194"/>
      <c r="AL194" s="20"/>
      <c r="AM194" s="20"/>
      <c r="AN194" s="20"/>
      <c r="AO194"/>
      <c r="AP194"/>
      <c r="AT194"/>
    </row>
    <row r="195" spans="1:46" x14ac:dyDescent="0.25">
      <c r="A195">
        <v>2017</v>
      </c>
      <c r="B195" s="14" t="s">
        <v>78</v>
      </c>
      <c r="C195" s="14" t="s">
        <v>95</v>
      </c>
      <c r="D195" s="14" t="s">
        <v>98</v>
      </c>
      <c r="E195">
        <v>4</v>
      </c>
      <c r="F195" t="s">
        <v>211</v>
      </c>
      <c r="G195" t="s">
        <v>233</v>
      </c>
      <c r="H195" t="s">
        <v>233</v>
      </c>
      <c r="I195" s="14" t="s">
        <v>233</v>
      </c>
      <c r="J195" s="14" t="s">
        <v>234</v>
      </c>
      <c r="K195" s="14" t="s">
        <v>234</v>
      </c>
      <c r="L195" s="14" t="s">
        <v>234</v>
      </c>
      <c r="M195" s="14">
        <v>43182</v>
      </c>
      <c r="N195" s="14" t="str">
        <f t="shared" si="2"/>
        <v>2018</v>
      </c>
      <c r="AI195" s="20"/>
      <c r="AJ195"/>
      <c r="AK195"/>
      <c r="AL195" s="20"/>
      <c r="AM195" s="20"/>
      <c r="AN195" s="20"/>
      <c r="AO195"/>
      <c r="AP195"/>
      <c r="AT195"/>
    </row>
    <row r="196" spans="1:46" x14ac:dyDescent="0.25">
      <c r="A196">
        <v>2017</v>
      </c>
      <c r="B196" s="14" t="s">
        <v>78</v>
      </c>
      <c r="C196" s="14" t="s">
        <v>95</v>
      </c>
      <c r="D196" s="14" t="s">
        <v>98</v>
      </c>
      <c r="E196">
        <v>11</v>
      </c>
      <c r="F196" t="s">
        <v>211</v>
      </c>
      <c r="G196" t="s">
        <v>233</v>
      </c>
      <c r="H196" t="s">
        <v>233</v>
      </c>
      <c r="I196" s="14" t="s">
        <v>234</v>
      </c>
      <c r="J196" s="14" t="s">
        <v>234</v>
      </c>
      <c r="K196" s="14" t="s">
        <v>234</v>
      </c>
      <c r="L196" s="14" t="s">
        <v>234</v>
      </c>
      <c r="M196" s="14">
        <v>43181</v>
      </c>
      <c r="N196" s="14" t="str">
        <f t="shared" si="2"/>
        <v>2018</v>
      </c>
      <c r="AI196" s="20"/>
      <c r="AJ196"/>
      <c r="AK196"/>
      <c r="AL196" s="20"/>
      <c r="AM196" s="20"/>
      <c r="AN196" s="20"/>
      <c r="AO196"/>
      <c r="AP196"/>
      <c r="AT196"/>
    </row>
    <row r="197" spans="1:46" x14ac:dyDescent="0.25">
      <c r="A197">
        <v>2017</v>
      </c>
      <c r="B197" s="14" t="s">
        <v>78</v>
      </c>
      <c r="C197" s="14" t="s">
        <v>95</v>
      </c>
      <c r="D197" s="14" t="s">
        <v>99</v>
      </c>
      <c r="E197">
        <v>6</v>
      </c>
      <c r="F197" t="s">
        <v>215</v>
      </c>
      <c r="G197" t="s">
        <v>233</v>
      </c>
      <c r="H197" t="s">
        <v>233</v>
      </c>
      <c r="I197" s="14" t="s">
        <v>234</v>
      </c>
      <c r="J197" s="14" t="s">
        <v>234</v>
      </c>
      <c r="K197" s="14" t="s">
        <v>234</v>
      </c>
      <c r="L197" s="14" t="s">
        <v>234</v>
      </c>
      <c r="M197" s="14">
        <v>43090</v>
      </c>
      <c r="N197" s="14" t="str">
        <f t="shared" ref="N197:N260" si="13">TEXT(M197,"aaaa")</f>
        <v>2017</v>
      </c>
      <c r="AI197" s="20"/>
      <c r="AJ197"/>
      <c r="AK197"/>
      <c r="AL197" s="20"/>
      <c r="AM197" s="20"/>
      <c r="AN197" s="20"/>
      <c r="AO197"/>
      <c r="AP197"/>
      <c r="AT197"/>
    </row>
    <row r="198" spans="1:46" x14ac:dyDescent="0.25">
      <c r="A198">
        <v>2017</v>
      </c>
      <c r="B198" s="14" t="s">
        <v>78</v>
      </c>
      <c r="C198" s="14" t="s">
        <v>95</v>
      </c>
      <c r="D198" s="14" t="s">
        <v>98</v>
      </c>
      <c r="E198">
        <v>9</v>
      </c>
      <c r="F198" t="s">
        <v>215</v>
      </c>
      <c r="G198" t="s">
        <v>233</v>
      </c>
      <c r="H198" t="s">
        <v>233</v>
      </c>
      <c r="I198" s="14" t="s">
        <v>234</v>
      </c>
      <c r="J198" s="14" t="s">
        <v>234</v>
      </c>
      <c r="K198" s="14" t="s">
        <v>234</v>
      </c>
      <c r="L198" s="14" t="s">
        <v>234</v>
      </c>
      <c r="M198" s="14">
        <v>43035</v>
      </c>
      <c r="N198" s="14" t="str">
        <f t="shared" si="13"/>
        <v>2017</v>
      </c>
    </row>
    <row r="199" spans="1:46" x14ac:dyDescent="0.25">
      <c r="A199">
        <v>2016</v>
      </c>
      <c r="B199" s="14" t="s">
        <v>78</v>
      </c>
      <c r="C199" s="14" t="s">
        <v>95</v>
      </c>
      <c r="D199" s="14" t="s">
        <v>100</v>
      </c>
      <c r="E199">
        <v>6</v>
      </c>
      <c r="F199" t="s">
        <v>211</v>
      </c>
      <c r="G199" t="s">
        <v>233</v>
      </c>
      <c r="H199" t="s">
        <v>233</v>
      </c>
      <c r="I199" s="14" t="s">
        <v>234</v>
      </c>
      <c r="J199" s="14" t="s">
        <v>234</v>
      </c>
      <c r="K199" s="14" t="s">
        <v>233</v>
      </c>
      <c r="L199" s="14" t="s">
        <v>234</v>
      </c>
      <c r="M199" s="14">
        <v>42937</v>
      </c>
      <c r="N199" s="14" t="str">
        <f t="shared" si="13"/>
        <v>2017</v>
      </c>
    </row>
    <row r="200" spans="1:46" x14ac:dyDescent="0.25">
      <c r="A200">
        <v>2016</v>
      </c>
      <c r="B200" s="14" t="s">
        <v>78</v>
      </c>
      <c r="C200" s="14" t="s">
        <v>95</v>
      </c>
      <c r="D200" s="14" t="s">
        <v>99</v>
      </c>
      <c r="E200">
        <v>12</v>
      </c>
      <c r="F200" t="s">
        <v>211</v>
      </c>
      <c r="G200" t="s">
        <v>233</v>
      </c>
      <c r="H200" t="s">
        <v>234</v>
      </c>
      <c r="I200" s="14" t="s">
        <v>233</v>
      </c>
      <c r="J200" s="14" t="s">
        <v>234</v>
      </c>
      <c r="K200" s="14" t="s">
        <v>233</v>
      </c>
      <c r="L200" s="14" t="s">
        <v>234</v>
      </c>
      <c r="M200" s="14">
        <v>42874</v>
      </c>
      <c r="N200" s="14" t="str">
        <f t="shared" si="13"/>
        <v>2017</v>
      </c>
    </row>
    <row r="201" spans="1:46" x14ac:dyDescent="0.25">
      <c r="A201">
        <v>2016</v>
      </c>
      <c r="B201" s="14" t="s">
        <v>78</v>
      </c>
      <c r="C201" s="14" t="s">
        <v>95</v>
      </c>
      <c r="D201" s="14" t="s">
        <v>99</v>
      </c>
      <c r="E201">
        <v>8</v>
      </c>
      <c r="F201" t="s">
        <v>215</v>
      </c>
      <c r="G201" t="s">
        <v>233</v>
      </c>
      <c r="H201" t="s">
        <v>233</v>
      </c>
      <c r="I201" s="14" t="s">
        <v>234</v>
      </c>
      <c r="J201" s="14" t="s">
        <v>234</v>
      </c>
      <c r="K201" s="14" t="s">
        <v>233</v>
      </c>
      <c r="L201" s="14" t="s">
        <v>234</v>
      </c>
      <c r="M201" s="14">
        <v>42832</v>
      </c>
      <c r="N201" s="14" t="str">
        <f t="shared" si="13"/>
        <v>2017</v>
      </c>
    </row>
    <row r="202" spans="1:46" x14ac:dyDescent="0.25">
      <c r="A202">
        <v>2016</v>
      </c>
      <c r="B202" s="14" t="s">
        <v>78</v>
      </c>
      <c r="C202" s="14" t="s">
        <v>95</v>
      </c>
      <c r="D202" s="14" t="s">
        <v>101</v>
      </c>
      <c r="E202">
        <v>19</v>
      </c>
      <c r="F202" t="s">
        <v>211</v>
      </c>
      <c r="G202" t="s">
        <v>233</v>
      </c>
      <c r="H202" t="s">
        <v>234</v>
      </c>
      <c r="I202" s="14" t="s">
        <v>234</v>
      </c>
      <c r="J202" s="14" t="s">
        <v>234</v>
      </c>
      <c r="K202" s="14" t="s">
        <v>233</v>
      </c>
      <c r="L202" s="14" t="s">
        <v>234</v>
      </c>
      <c r="M202" s="14">
        <v>42817</v>
      </c>
      <c r="N202" s="14" t="str">
        <f t="shared" si="13"/>
        <v>2017</v>
      </c>
    </row>
    <row r="203" spans="1:46" x14ac:dyDescent="0.25">
      <c r="A203">
        <v>2016</v>
      </c>
      <c r="B203" s="14" t="s">
        <v>78</v>
      </c>
      <c r="C203" s="14" t="s">
        <v>95</v>
      </c>
      <c r="D203" s="14" t="s">
        <v>101</v>
      </c>
      <c r="E203">
        <v>13</v>
      </c>
      <c r="F203" t="s">
        <v>215</v>
      </c>
      <c r="G203" t="s">
        <v>233</v>
      </c>
      <c r="H203" t="s">
        <v>233</v>
      </c>
      <c r="I203" s="14" t="s">
        <v>234</v>
      </c>
      <c r="J203" s="14" t="s">
        <v>234</v>
      </c>
      <c r="K203" s="14" t="s">
        <v>233</v>
      </c>
      <c r="L203" s="14" t="s">
        <v>234</v>
      </c>
      <c r="M203" s="14">
        <v>42768</v>
      </c>
      <c r="N203" s="14" t="str">
        <f t="shared" si="13"/>
        <v>2017</v>
      </c>
    </row>
    <row r="204" spans="1:46" x14ac:dyDescent="0.25">
      <c r="A204">
        <v>2016</v>
      </c>
      <c r="B204" s="14" t="s">
        <v>78</v>
      </c>
      <c r="C204" s="14" t="s">
        <v>95</v>
      </c>
      <c r="D204" s="14" t="s">
        <v>102</v>
      </c>
      <c r="E204">
        <v>17</v>
      </c>
      <c r="F204" t="s">
        <v>211</v>
      </c>
      <c r="G204" t="s">
        <v>233</v>
      </c>
      <c r="H204" t="s">
        <v>234</v>
      </c>
      <c r="I204" s="14" t="s">
        <v>234</v>
      </c>
      <c r="J204" s="14" t="s">
        <v>234</v>
      </c>
      <c r="K204" s="14" t="s">
        <v>234</v>
      </c>
      <c r="L204" s="14" t="s">
        <v>234</v>
      </c>
      <c r="M204" s="14">
        <v>42755</v>
      </c>
      <c r="N204" s="14" t="str">
        <f t="shared" si="13"/>
        <v>2017</v>
      </c>
    </row>
    <row r="205" spans="1:46" x14ac:dyDescent="0.25">
      <c r="A205">
        <v>2015</v>
      </c>
      <c r="B205" s="14" t="s">
        <v>78</v>
      </c>
      <c r="C205" s="14" t="s">
        <v>95</v>
      </c>
      <c r="D205" s="14" t="s">
        <v>102</v>
      </c>
      <c r="E205">
        <v>5</v>
      </c>
      <c r="F205" t="s">
        <v>211</v>
      </c>
      <c r="G205" t="s">
        <v>233</v>
      </c>
      <c r="H205" t="s">
        <v>233</v>
      </c>
      <c r="I205" s="14" t="s">
        <v>233</v>
      </c>
      <c r="J205" s="14" t="s">
        <v>234</v>
      </c>
      <c r="K205" s="14" t="s">
        <v>233</v>
      </c>
      <c r="L205" s="14" t="s">
        <v>234</v>
      </c>
      <c r="M205" s="14">
        <v>42496</v>
      </c>
      <c r="N205" s="14" t="str">
        <f t="shared" si="13"/>
        <v>2016</v>
      </c>
    </row>
    <row r="206" spans="1:46" x14ac:dyDescent="0.25">
      <c r="A206">
        <v>2015</v>
      </c>
      <c r="B206" s="14" t="s">
        <v>78</v>
      </c>
      <c r="C206" s="14" t="s">
        <v>95</v>
      </c>
      <c r="D206" s="14" t="s">
        <v>100</v>
      </c>
      <c r="E206">
        <v>6</v>
      </c>
      <c r="F206" t="s">
        <v>211</v>
      </c>
      <c r="G206" t="s">
        <v>233</v>
      </c>
      <c r="H206" t="s">
        <v>233</v>
      </c>
      <c r="I206" s="14" t="s">
        <v>233</v>
      </c>
      <c r="J206" s="14" t="s">
        <v>234</v>
      </c>
      <c r="K206" s="14" t="s">
        <v>233</v>
      </c>
      <c r="L206" s="14" t="s">
        <v>234</v>
      </c>
      <c r="M206" s="14">
        <v>42349</v>
      </c>
      <c r="N206" s="14" t="str">
        <f t="shared" si="13"/>
        <v>2015</v>
      </c>
    </row>
    <row r="207" spans="1:46" x14ac:dyDescent="0.25">
      <c r="A207">
        <v>2014</v>
      </c>
      <c r="B207" s="14" t="s">
        <v>78</v>
      </c>
      <c r="C207" s="14" t="s">
        <v>95</v>
      </c>
      <c r="D207" s="14" t="s">
        <v>100</v>
      </c>
      <c r="E207">
        <v>8</v>
      </c>
      <c r="F207" t="s">
        <v>211</v>
      </c>
      <c r="G207" t="s">
        <v>233</v>
      </c>
      <c r="H207" t="s">
        <v>233</v>
      </c>
      <c r="I207" s="14" t="s">
        <v>233</v>
      </c>
      <c r="J207" s="14" t="s">
        <v>234</v>
      </c>
      <c r="K207" s="14" t="s">
        <v>233</v>
      </c>
      <c r="L207" s="14" t="s">
        <v>234</v>
      </c>
      <c r="M207" s="14">
        <v>42263</v>
      </c>
      <c r="N207" s="14" t="str">
        <f t="shared" si="13"/>
        <v>2015</v>
      </c>
    </row>
    <row r="208" spans="1:46" x14ac:dyDescent="0.25">
      <c r="A208">
        <v>2014</v>
      </c>
      <c r="B208" s="14" t="s">
        <v>78</v>
      </c>
      <c r="C208" s="14" t="s">
        <v>95</v>
      </c>
      <c r="D208" s="14" t="s">
        <v>99</v>
      </c>
      <c r="E208">
        <v>4</v>
      </c>
      <c r="F208" t="s">
        <v>211</v>
      </c>
      <c r="G208" t="s">
        <v>233</v>
      </c>
      <c r="H208" t="s">
        <v>233</v>
      </c>
      <c r="I208" s="14" t="s">
        <v>233</v>
      </c>
      <c r="J208" s="14" t="s">
        <v>234</v>
      </c>
      <c r="K208" s="14" t="s">
        <v>233</v>
      </c>
      <c r="L208" s="14" t="s">
        <v>234</v>
      </c>
      <c r="M208" s="14">
        <v>42062</v>
      </c>
      <c r="N208" s="14" t="str">
        <f t="shared" si="13"/>
        <v>2015</v>
      </c>
    </row>
    <row r="209" spans="1:14" x14ac:dyDescent="0.25">
      <c r="A209">
        <v>2017</v>
      </c>
      <c r="B209" s="14" t="s">
        <v>78</v>
      </c>
      <c r="C209" s="14" t="s">
        <v>103</v>
      </c>
      <c r="D209" s="14" t="s">
        <v>104</v>
      </c>
      <c r="E209">
        <v>8</v>
      </c>
      <c r="F209" t="s">
        <v>211</v>
      </c>
      <c r="G209" t="s">
        <v>233</v>
      </c>
      <c r="H209" t="s">
        <v>233</v>
      </c>
      <c r="I209" s="14" t="s">
        <v>234</v>
      </c>
      <c r="J209" s="14" t="s">
        <v>233</v>
      </c>
      <c r="K209" s="14" t="s">
        <v>233</v>
      </c>
      <c r="L209" s="14" t="s">
        <v>233</v>
      </c>
      <c r="M209" s="14">
        <v>43243</v>
      </c>
      <c r="N209" s="14" t="str">
        <f t="shared" si="13"/>
        <v>2018</v>
      </c>
    </row>
    <row r="210" spans="1:14" x14ac:dyDescent="0.25">
      <c r="A210">
        <v>2017</v>
      </c>
      <c r="B210" s="14" t="s">
        <v>78</v>
      </c>
      <c r="C210" s="14" t="s">
        <v>103</v>
      </c>
      <c r="D210" s="14" t="s">
        <v>105</v>
      </c>
      <c r="E210">
        <v>3</v>
      </c>
      <c r="F210" t="s">
        <v>211</v>
      </c>
      <c r="G210" t="s">
        <v>233</v>
      </c>
      <c r="H210" t="s">
        <v>234</v>
      </c>
      <c r="I210" s="14" t="s">
        <v>234</v>
      </c>
      <c r="J210" s="14" t="s">
        <v>234</v>
      </c>
      <c r="K210" s="14" t="s">
        <v>234</v>
      </c>
      <c r="L210" s="14" t="s">
        <v>234</v>
      </c>
      <c r="M210" s="14">
        <v>43171</v>
      </c>
      <c r="N210" s="14" t="str">
        <f t="shared" si="13"/>
        <v>2018</v>
      </c>
    </row>
    <row r="211" spans="1:14" x14ac:dyDescent="0.25">
      <c r="A211">
        <v>2017</v>
      </c>
      <c r="B211" s="14" t="s">
        <v>78</v>
      </c>
      <c r="C211" s="14" t="s">
        <v>103</v>
      </c>
      <c r="D211" s="14" t="s">
        <v>106</v>
      </c>
      <c r="E211">
        <v>16</v>
      </c>
      <c r="F211" t="s">
        <v>215</v>
      </c>
      <c r="G211" t="s">
        <v>234</v>
      </c>
      <c r="H211" t="s">
        <v>233</v>
      </c>
      <c r="I211" s="14" t="s">
        <v>234</v>
      </c>
      <c r="J211" s="14" t="s">
        <v>233</v>
      </c>
      <c r="K211" s="14" t="s">
        <v>233</v>
      </c>
      <c r="L211" s="14" t="s">
        <v>234</v>
      </c>
      <c r="M211" s="14">
        <v>43168</v>
      </c>
      <c r="N211" s="14" t="str">
        <f t="shared" si="13"/>
        <v>2018</v>
      </c>
    </row>
    <row r="212" spans="1:14" x14ac:dyDescent="0.25">
      <c r="A212">
        <v>2017</v>
      </c>
      <c r="B212" s="14" t="s">
        <v>78</v>
      </c>
      <c r="C212" s="14" t="s">
        <v>103</v>
      </c>
      <c r="D212" s="14" t="s">
        <v>106</v>
      </c>
      <c r="E212">
        <v>6</v>
      </c>
      <c r="F212" t="s">
        <v>211</v>
      </c>
      <c r="G212" t="s">
        <v>233</v>
      </c>
      <c r="H212" t="s">
        <v>234</v>
      </c>
      <c r="I212" s="14" t="s">
        <v>234</v>
      </c>
      <c r="J212" s="14" t="s">
        <v>234</v>
      </c>
      <c r="K212" s="14" t="s">
        <v>234</v>
      </c>
      <c r="L212" s="14" t="s">
        <v>234</v>
      </c>
      <c r="M212" s="14">
        <v>43158</v>
      </c>
      <c r="N212" s="14" t="str">
        <f t="shared" si="13"/>
        <v>2018</v>
      </c>
    </row>
    <row r="213" spans="1:14" x14ac:dyDescent="0.25">
      <c r="A213">
        <v>2017</v>
      </c>
      <c r="B213" s="14" t="s">
        <v>78</v>
      </c>
      <c r="C213" s="14" t="s">
        <v>103</v>
      </c>
      <c r="D213" s="14" t="s">
        <v>104</v>
      </c>
      <c r="E213">
        <v>23</v>
      </c>
      <c r="F213" t="s">
        <v>215</v>
      </c>
      <c r="G213" t="s">
        <v>233</v>
      </c>
      <c r="H213" t="s">
        <v>233</v>
      </c>
      <c r="I213" s="14" t="s">
        <v>234</v>
      </c>
      <c r="J213" s="14" t="s">
        <v>234</v>
      </c>
      <c r="K213" s="14" t="s">
        <v>234</v>
      </c>
      <c r="L213" s="14" t="s">
        <v>234</v>
      </c>
      <c r="M213" s="14">
        <v>43140</v>
      </c>
      <c r="N213" s="14" t="str">
        <f t="shared" si="13"/>
        <v>2018</v>
      </c>
    </row>
    <row r="214" spans="1:14" x14ac:dyDescent="0.25">
      <c r="A214">
        <v>2017</v>
      </c>
      <c r="B214" s="14" t="s">
        <v>78</v>
      </c>
      <c r="C214" s="14" t="s">
        <v>103</v>
      </c>
      <c r="D214" s="14" t="s">
        <v>104</v>
      </c>
      <c r="E214">
        <v>5</v>
      </c>
      <c r="F214" t="s">
        <v>211</v>
      </c>
      <c r="G214" t="s">
        <v>233</v>
      </c>
      <c r="H214" t="s">
        <v>233</v>
      </c>
      <c r="I214" s="14" t="s">
        <v>234</v>
      </c>
      <c r="J214" s="14" t="s">
        <v>234</v>
      </c>
      <c r="K214" s="14" t="s">
        <v>234</v>
      </c>
      <c r="L214" s="14" t="s">
        <v>234</v>
      </c>
      <c r="M214" s="14">
        <v>43130</v>
      </c>
      <c r="N214" s="14" t="str">
        <f t="shared" si="13"/>
        <v>2018</v>
      </c>
    </row>
    <row r="215" spans="1:14" x14ac:dyDescent="0.25">
      <c r="A215">
        <v>2017</v>
      </c>
      <c r="B215" s="14" t="s">
        <v>78</v>
      </c>
      <c r="C215" s="14" t="s">
        <v>103</v>
      </c>
      <c r="D215" s="14" t="s">
        <v>107</v>
      </c>
      <c r="E215">
        <v>1</v>
      </c>
      <c r="F215" t="s">
        <v>215</v>
      </c>
      <c r="G215" t="s">
        <v>233</v>
      </c>
      <c r="H215" t="s">
        <v>233</v>
      </c>
      <c r="I215" s="14" t="s">
        <v>234</v>
      </c>
      <c r="J215" s="14" t="s">
        <v>234</v>
      </c>
      <c r="K215" s="14" t="s">
        <v>234</v>
      </c>
      <c r="L215" s="14" t="s">
        <v>234</v>
      </c>
      <c r="M215" s="14">
        <v>43115</v>
      </c>
      <c r="N215" s="14" t="str">
        <f t="shared" si="13"/>
        <v>2018</v>
      </c>
    </row>
    <row r="216" spans="1:14" x14ac:dyDescent="0.25">
      <c r="A216">
        <v>2017</v>
      </c>
      <c r="B216" s="14" t="s">
        <v>78</v>
      </c>
      <c r="C216" s="14" t="s">
        <v>103</v>
      </c>
      <c r="D216" s="14" t="s">
        <v>108</v>
      </c>
      <c r="E216">
        <v>8</v>
      </c>
      <c r="F216" t="s">
        <v>211</v>
      </c>
      <c r="G216" t="s">
        <v>233</v>
      </c>
      <c r="H216" t="s">
        <v>233</v>
      </c>
      <c r="I216" s="14" t="s">
        <v>234</v>
      </c>
      <c r="J216" s="14" t="s">
        <v>234</v>
      </c>
      <c r="K216" s="14" t="s">
        <v>234</v>
      </c>
      <c r="L216" s="14" t="s">
        <v>234</v>
      </c>
      <c r="M216" s="44">
        <v>43112</v>
      </c>
      <c r="N216" s="14" t="str">
        <f t="shared" si="13"/>
        <v>2018</v>
      </c>
    </row>
    <row r="217" spans="1:14" x14ac:dyDescent="0.25">
      <c r="A217">
        <v>2017</v>
      </c>
      <c r="B217" s="14" t="s">
        <v>78</v>
      </c>
      <c r="C217" s="14" t="s">
        <v>103</v>
      </c>
      <c r="D217" s="14" t="s">
        <v>104</v>
      </c>
      <c r="E217">
        <v>3</v>
      </c>
      <c r="F217" t="s">
        <v>211</v>
      </c>
      <c r="G217" t="s">
        <v>233</v>
      </c>
      <c r="H217" t="s">
        <v>233</v>
      </c>
      <c r="I217" s="14" t="s">
        <v>233</v>
      </c>
      <c r="J217" s="14" t="s">
        <v>234</v>
      </c>
      <c r="K217" s="14" t="s">
        <v>234</v>
      </c>
      <c r="L217" s="14" t="s">
        <v>233</v>
      </c>
      <c r="M217" s="44">
        <v>43112</v>
      </c>
      <c r="N217" s="14" t="str">
        <f t="shared" si="13"/>
        <v>2018</v>
      </c>
    </row>
    <row r="218" spans="1:14" x14ac:dyDescent="0.25">
      <c r="A218">
        <v>2017</v>
      </c>
      <c r="B218" s="14" t="s">
        <v>78</v>
      </c>
      <c r="C218" s="14" t="s">
        <v>103</v>
      </c>
      <c r="D218" s="14" t="s">
        <v>109</v>
      </c>
      <c r="E218">
        <v>20</v>
      </c>
      <c r="F218" t="s">
        <v>215</v>
      </c>
      <c r="G218" t="s">
        <v>233</v>
      </c>
      <c r="H218" t="s">
        <v>233</v>
      </c>
      <c r="I218" s="14" t="s">
        <v>234</v>
      </c>
      <c r="J218" s="14" t="s">
        <v>234</v>
      </c>
      <c r="K218" s="14" t="s">
        <v>234</v>
      </c>
      <c r="L218" s="14" t="s">
        <v>234</v>
      </c>
      <c r="M218" s="14">
        <v>43089</v>
      </c>
      <c r="N218" s="14" t="str">
        <f t="shared" si="13"/>
        <v>2017</v>
      </c>
    </row>
    <row r="219" spans="1:14" x14ac:dyDescent="0.25">
      <c r="A219">
        <v>2016</v>
      </c>
      <c r="B219" s="14" t="s">
        <v>78</v>
      </c>
      <c r="C219" s="14" t="s">
        <v>103</v>
      </c>
      <c r="D219" s="14" t="s">
        <v>106</v>
      </c>
      <c r="E219">
        <v>6</v>
      </c>
      <c r="F219" t="s">
        <v>211</v>
      </c>
      <c r="G219" t="s">
        <v>233</v>
      </c>
      <c r="H219" t="s">
        <v>233</v>
      </c>
      <c r="I219" s="14" t="s">
        <v>233</v>
      </c>
      <c r="J219" s="14" t="s">
        <v>233</v>
      </c>
      <c r="K219" s="14" t="s">
        <v>233</v>
      </c>
      <c r="L219" s="14" t="s">
        <v>233</v>
      </c>
      <c r="M219" s="14">
        <v>42996</v>
      </c>
      <c r="N219" s="14" t="str">
        <f t="shared" si="13"/>
        <v>2017</v>
      </c>
    </row>
    <row r="220" spans="1:14" x14ac:dyDescent="0.25">
      <c r="A220">
        <v>2016</v>
      </c>
      <c r="B220" s="14" t="s">
        <v>78</v>
      </c>
      <c r="C220" s="14" t="s">
        <v>103</v>
      </c>
      <c r="D220" s="14" t="s">
        <v>108</v>
      </c>
      <c r="E220">
        <v>4</v>
      </c>
      <c r="F220" t="s">
        <v>211</v>
      </c>
      <c r="G220" t="s">
        <v>233</v>
      </c>
      <c r="H220" t="s">
        <v>234</v>
      </c>
      <c r="I220" s="14" t="s">
        <v>234</v>
      </c>
      <c r="J220" s="14" t="s">
        <v>234</v>
      </c>
      <c r="K220" s="14" t="s">
        <v>234</v>
      </c>
      <c r="L220" s="14" t="s">
        <v>234</v>
      </c>
      <c r="M220" s="14">
        <v>42814</v>
      </c>
      <c r="N220" s="14" t="str">
        <f t="shared" si="13"/>
        <v>2017</v>
      </c>
    </row>
    <row r="221" spans="1:14" x14ac:dyDescent="0.25">
      <c r="A221">
        <v>2016</v>
      </c>
      <c r="B221" s="14" t="s">
        <v>78</v>
      </c>
      <c r="C221" s="14" t="s">
        <v>103</v>
      </c>
      <c r="D221" s="14" t="s">
        <v>107</v>
      </c>
      <c r="E221">
        <v>6</v>
      </c>
      <c r="F221" t="s">
        <v>211</v>
      </c>
      <c r="G221" t="s">
        <v>233</v>
      </c>
      <c r="H221" t="s">
        <v>233</v>
      </c>
      <c r="I221" s="14" t="s">
        <v>234</v>
      </c>
      <c r="J221" s="14" t="s">
        <v>234</v>
      </c>
      <c r="K221" s="14" t="s">
        <v>233</v>
      </c>
      <c r="L221" s="14" t="s">
        <v>234</v>
      </c>
      <c r="M221" s="14">
        <v>42747</v>
      </c>
      <c r="N221" s="14" t="str">
        <f t="shared" si="13"/>
        <v>2017</v>
      </c>
    </row>
    <row r="222" spans="1:14" x14ac:dyDescent="0.25">
      <c r="A222">
        <v>2016</v>
      </c>
      <c r="B222" s="14" t="s">
        <v>78</v>
      </c>
      <c r="C222" s="14" t="s">
        <v>103</v>
      </c>
      <c r="D222" s="14" t="s">
        <v>110</v>
      </c>
      <c r="E222">
        <v>12</v>
      </c>
      <c r="F222" t="s">
        <v>215</v>
      </c>
      <c r="G222" t="s">
        <v>233</v>
      </c>
      <c r="H222" t="s">
        <v>233</v>
      </c>
      <c r="I222" s="14" t="s">
        <v>234</v>
      </c>
      <c r="J222" s="14" t="s">
        <v>234</v>
      </c>
      <c r="K222" s="14" t="s">
        <v>233</v>
      </c>
      <c r="L222" s="14" t="s">
        <v>234</v>
      </c>
      <c r="M222" s="14">
        <v>42699</v>
      </c>
      <c r="N222" s="14" t="str">
        <f t="shared" si="13"/>
        <v>2016</v>
      </c>
    </row>
    <row r="223" spans="1:14" x14ac:dyDescent="0.25">
      <c r="A223">
        <v>2016</v>
      </c>
      <c r="B223" s="14" t="s">
        <v>78</v>
      </c>
      <c r="C223" s="14" t="s">
        <v>103</v>
      </c>
      <c r="D223" s="14" t="s">
        <v>111</v>
      </c>
      <c r="E223">
        <v>11</v>
      </c>
      <c r="F223" t="s">
        <v>211</v>
      </c>
      <c r="G223" t="s">
        <v>233</v>
      </c>
      <c r="H223" t="s">
        <v>233</v>
      </c>
      <c r="I223" s="14" t="s">
        <v>234</v>
      </c>
      <c r="J223" s="14" t="s">
        <v>234</v>
      </c>
      <c r="K223" s="14" t="s">
        <v>233</v>
      </c>
      <c r="L223" s="14" t="s">
        <v>234</v>
      </c>
      <c r="M223" s="14">
        <v>42671</v>
      </c>
      <c r="N223" s="14" t="str">
        <f t="shared" si="13"/>
        <v>2016</v>
      </c>
    </row>
    <row r="224" spans="1:14" x14ac:dyDescent="0.25">
      <c r="A224">
        <v>2015</v>
      </c>
      <c r="B224" s="14" t="s">
        <v>78</v>
      </c>
      <c r="C224" s="14" t="s">
        <v>103</v>
      </c>
      <c r="D224" s="14" t="s">
        <v>109</v>
      </c>
      <c r="E224">
        <v>62</v>
      </c>
      <c r="F224" t="s">
        <v>211</v>
      </c>
      <c r="G224" t="s">
        <v>233</v>
      </c>
      <c r="H224" t="s">
        <v>233</v>
      </c>
      <c r="I224" s="14" t="s">
        <v>234</v>
      </c>
      <c r="J224" s="14" t="s">
        <v>234</v>
      </c>
      <c r="K224" s="14" t="s">
        <v>233</v>
      </c>
      <c r="L224" s="14" t="s">
        <v>234</v>
      </c>
      <c r="M224" s="14">
        <v>42531</v>
      </c>
      <c r="N224" s="14" t="str">
        <f t="shared" si="13"/>
        <v>2016</v>
      </c>
    </row>
    <row r="225" spans="1:14" x14ac:dyDescent="0.25">
      <c r="A225">
        <v>2015</v>
      </c>
      <c r="B225" s="14" t="s">
        <v>78</v>
      </c>
      <c r="C225" s="14" t="s">
        <v>103</v>
      </c>
      <c r="D225" s="14" t="s">
        <v>108</v>
      </c>
      <c r="E225">
        <v>13</v>
      </c>
      <c r="F225" t="s">
        <v>211</v>
      </c>
      <c r="G225" t="s">
        <v>233</v>
      </c>
      <c r="H225" t="s">
        <v>233</v>
      </c>
      <c r="I225" s="14" t="s">
        <v>234</v>
      </c>
      <c r="J225" s="14" t="s">
        <v>234</v>
      </c>
      <c r="K225" s="14" t="s">
        <v>233</v>
      </c>
      <c r="L225" s="14" t="s">
        <v>234</v>
      </c>
      <c r="M225" s="14">
        <v>42514</v>
      </c>
      <c r="N225" s="14" t="str">
        <f t="shared" si="13"/>
        <v>2016</v>
      </c>
    </row>
    <row r="226" spans="1:14" x14ac:dyDescent="0.25">
      <c r="A226">
        <v>2015</v>
      </c>
      <c r="B226" s="14" t="s">
        <v>78</v>
      </c>
      <c r="C226" s="14" t="s">
        <v>103</v>
      </c>
      <c r="D226" s="14" t="s">
        <v>112</v>
      </c>
      <c r="E226">
        <v>18</v>
      </c>
      <c r="F226" t="s">
        <v>211</v>
      </c>
      <c r="G226" t="s">
        <v>233</v>
      </c>
      <c r="H226" t="s">
        <v>233</v>
      </c>
      <c r="I226" s="14" t="s">
        <v>233</v>
      </c>
      <c r="J226" s="14" t="s">
        <v>234</v>
      </c>
      <c r="K226" s="14" t="s">
        <v>233</v>
      </c>
      <c r="L226" s="14" t="s">
        <v>234</v>
      </c>
      <c r="M226" s="14">
        <v>42432</v>
      </c>
      <c r="N226" s="14" t="str">
        <f t="shared" si="13"/>
        <v>2016</v>
      </c>
    </row>
    <row r="227" spans="1:14" x14ac:dyDescent="0.25">
      <c r="A227">
        <v>2015</v>
      </c>
      <c r="B227" s="14" t="s">
        <v>78</v>
      </c>
      <c r="C227" s="14" t="s">
        <v>103</v>
      </c>
      <c r="D227" s="14" t="s">
        <v>109</v>
      </c>
      <c r="E227">
        <v>11</v>
      </c>
      <c r="F227" t="s">
        <v>215</v>
      </c>
      <c r="G227" t="s">
        <v>233</v>
      </c>
      <c r="H227" t="s">
        <v>233</v>
      </c>
      <c r="I227" s="14" t="s">
        <v>233</v>
      </c>
      <c r="J227" s="14" t="s">
        <v>234</v>
      </c>
      <c r="K227" s="14" t="s">
        <v>233</v>
      </c>
      <c r="L227" s="14" t="s">
        <v>234</v>
      </c>
      <c r="M227" s="14">
        <v>42380</v>
      </c>
      <c r="N227" s="14" t="str">
        <f t="shared" si="13"/>
        <v>2016</v>
      </c>
    </row>
    <row r="228" spans="1:14" x14ac:dyDescent="0.25">
      <c r="A228">
        <v>2017</v>
      </c>
      <c r="B228" s="14" t="s">
        <v>78</v>
      </c>
      <c r="C228" t="s">
        <v>113</v>
      </c>
      <c r="D228" s="14" t="s">
        <v>114</v>
      </c>
      <c r="E228">
        <v>0</v>
      </c>
      <c r="F228" t="s">
        <v>211</v>
      </c>
      <c r="G228" t="s">
        <v>233</v>
      </c>
      <c r="H228" t="s">
        <v>233</v>
      </c>
      <c r="I228" s="14" t="s">
        <v>233</v>
      </c>
      <c r="J228" s="14" t="s">
        <v>234</v>
      </c>
      <c r="K228" s="14" t="s">
        <v>233</v>
      </c>
      <c r="L228" s="14" t="s">
        <v>234</v>
      </c>
      <c r="M228" s="14">
        <v>43215</v>
      </c>
      <c r="N228" s="14" t="str">
        <f t="shared" si="13"/>
        <v>2018</v>
      </c>
    </row>
    <row r="229" spans="1:14" x14ac:dyDescent="0.25">
      <c r="A229">
        <v>2017</v>
      </c>
      <c r="B229" s="14" t="s">
        <v>78</v>
      </c>
      <c r="C229" t="s">
        <v>113</v>
      </c>
      <c r="D229" s="14" t="s">
        <v>115</v>
      </c>
      <c r="E229">
        <v>10</v>
      </c>
      <c r="F229" t="s">
        <v>211</v>
      </c>
      <c r="G229" t="s">
        <v>233</v>
      </c>
      <c r="H229" t="s">
        <v>233</v>
      </c>
      <c r="I229" s="14" t="s">
        <v>233</v>
      </c>
      <c r="J229" s="14" t="s">
        <v>234</v>
      </c>
      <c r="K229" s="14" t="s">
        <v>234</v>
      </c>
      <c r="L229" s="14" t="s">
        <v>234</v>
      </c>
      <c r="M229" s="14">
        <v>42997</v>
      </c>
      <c r="N229" s="14" t="str">
        <f t="shared" si="13"/>
        <v>2017</v>
      </c>
    </row>
    <row r="230" spans="1:14" x14ac:dyDescent="0.25">
      <c r="A230">
        <v>2016</v>
      </c>
      <c r="B230" s="14" t="s">
        <v>78</v>
      </c>
      <c r="C230" t="s">
        <v>113</v>
      </c>
      <c r="D230" s="14" t="s">
        <v>116</v>
      </c>
      <c r="E230">
        <v>3</v>
      </c>
      <c r="F230" t="s">
        <v>215</v>
      </c>
      <c r="G230" t="s">
        <v>233</v>
      </c>
      <c r="H230" t="s">
        <v>234</v>
      </c>
      <c r="I230" s="14" t="s">
        <v>234</v>
      </c>
      <c r="J230" s="14" t="s">
        <v>234</v>
      </c>
      <c r="K230" s="14" t="s">
        <v>234</v>
      </c>
      <c r="L230" s="14" t="s">
        <v>234</v>
      </c>
      <c r="M230" s="14">
        <v>42943</v>
      </c>
      <c r="N230" s="14" t="str">
        <f t="shared" si="13"/>
        <v>2017</v>
      </c>
    </row>
    <row r="231" spans="1:14" x14ac:dyDescent="0.25">
      <c r="A231">
        <v>2016</v>
      </c>
      <c r="B231" s="14" t="s">
        <v>78</v>
      </c>
      <c r="C231" t="s">
        <v>113</v>
      </c>
      <c r="D231" s="14" t="s">
        <v>116</v>
      </c>
      <c r="E231">
        <v>7</v>
      </c>
      <c r="F231" t="s">
        <v>211</v>
      </c>
      <c r="G231" t="s">
        <v>233</v>
      </c>
      <c r="H231" t="s">
        <v>234</v>
      </c>
      <c r="I231" s="14" t="s">
        <v>234</v>
      </c>
      <c r="J231" s="14" t="s">
        <v>233</v>
      </c>
      <c r="K231" s="14" t="s">
        <v>233</v>
      </c>
      <c r="L231" s="14" t="s">
        <v>234</v>
      </c>
      <c r="M231" s="14">
        <v>42936</v>
      </c>
      <c r="N231" s="14" t="str">
        <f t="shared" si="13"/>
        <v>2017</v>
      </c>
    </row>
    <row r="232" spans="1:14" x14ac:dyDescent="0.25">
      <c r="A232">
        <v>2016</v>
      </c>
      <c r="B232" s="14" t="s">
        <v>78</v>
      </c>
      <c r="C232" t="s">
        <v>113</v>
      </c>
      <c r="D232" s="14" t="s">
        <v>117</v>
      </c>
      <c r="E232">
        <v>15</v>
      </c>
      <c r="F232" t="s">
        <v>211</v>
      </c>
      <c r="G232" t="s">
        <v>233</v>
      </c>
      <c r="H232" t="s">
        <v>234</v>
      </c>
      <c r="I232" s="14" t="s">
        <v>233</v>
      </c>
      <c r="J232" s="14" t="s">
        <v>234</v>
      </c>
      <c r="K232" s="14" t="s">
        <v>233</v>
      </c>
      <c r="L232" s="14" t="s">
        <v>234</v>
      </c>
      <c r="M232" s="14">
        <v>42899</v>
      </c>
      <c r="N232" s="14" t="str">
        <f t="shared" si="13"/>
        <v>2017</v>
      </c>
    </row>
    <row r="233" spans="1:14" x14ac:dyDescent="0.25">
      <c r="A233">
        <v>2016</v>
      </c>
      <c r="B233" s="14" t="s">
        <v>78</v>
      </c>
      <c r="C233" t="s">
        <v>113</v>
      </c>
      <c r="D233" s="14" t="s">
        <v>115</v>
      </c>
      <c r="E233">
        <v>5</v>
      </c>
      <c r="F233" t="s">
        <v>211</v>
      </c>
      <c r="G233" t="s">
        <v>233</v>
      </c>
      <c r="H233" t="s">
        <v>233</v>
      </c>
      <c r="I233" s="14" t="s">
        <v>234</v>
      </c>
      <c r="J233" s="14" t="s">
        <v>234</v>
      </c>
      <c r="K233" s="14" t="s">
        <v>233</v>
      </c>
      <c r="L233" s="14" t="s">
        <v>234</v>
      </c>
      <c r="M233" s="14">
        <v>42891</v>
      </c>
      <c r="N233" s="14" t="str">
        <f t="shared" si="13"/>
        <v>2017</v>
      </c>
    </row>
    <row r="234" spans="1:14" x14ac:dyDescent="0.25">
      <c r="A234">
        <v>2016</v>
      </c>
      <c r="B234" s="14" t="s">
        <v>78</v>
      </c>
      <c r="C234" t="s">
        <v>113</v>
      </c>
      <c r="D234" s="14" t="s">
        <v>118</v>
      </c>
      <c r="E234">
        <v>1</v>
      </c>
      <c r="F234" t="s">
        <v>215</v>
      </c>
      <c r="G234" t="s">
        <v>233</v>
      </c>
      <c r="H234" t="s">
        <v>233</v>
      </c>
      <c r="I234" s="14" t="s">
        <v>233</v>
      </c>
      <c r="J234" s="14" t="s">
        <v>234</v>
      </c>
      <c r="K234" s="14" t="s">
        <v>233</v>
      </c>
      <c r="L234" s="14" t="s">
        <v>234</v>
      </c>
      <c r="M234" s="14">
        <v>42888</v>
      </c>
      <c r="N234" s="14" t="str">
        <f t="shared" si="13"/>
        <v>2017</v>
      </c>
    </row>
    <row r="235" spans="1:14" x14ac:dyDescent="0.25">
      <c r="A235">
        <v>2016</v>
      </c>
      <c r="B235" s="14" t="s">
        <v>78</v>
      </c>
      <c r="C235" t="s">
        <v>113</v>
      </c>
      <c r="D235" s="14" t="s">
        <v>119</v>
      </c>
      <c r="E235">
        <v>2</v>
      </c>
      <c r="F235" t="s">
        <v>215</v>
      </c>
      <c r="G235" t="s">
        <v>233</v>
      </c>
      <c r="H235" t="s">
        <v>233</v>
      </c>
      <c r="I235" s="14" t="s">
        <v>233</v>
      </c>
      <c r="J235" s="14" t="s">
        <v>234</v>
      </c>
      <c r="K235" s="14" t="s">
        <v>233</v>
      </c>
      <c r="L235" s="14" t="s">
        <v>234</v>
      </c>
      <c r="M235" s="14">
        <v>42853</v>
      </c>
      <c r="N235" s="14" t="str">
        <f t="shared" si="13"/>
        <v>2017</v>
      </c>
    </row>
    <row r="236" spans="1:14" x14ac:dyDescent="0.25">
      <c r="A236">
        <v>2016</v>
      </c>
      <c r="B236" s="14" t="s">
        <v>78</v>
      </c>
      <c r="C236" t="s">
        <v>113</v>
      </c>
      <c r="D236" s="14" t="s">
        <v>114</v>
      </c>
      <c r="E236">
        <v>3</v>
      </c>
      <c r="F236" t="s">
        <v>211</v>
      </c>
      <c r="G236" t="s">
        <v>233</v>
      </c>
      <c r="H236" t="s">
        <v>234</v>
      </c>
      <c r="I236" s="14" t="s">
        <v>233</v>
      </c>
      <c r="J236" s="14" t="s">
        <v>234</v>
      </c>
      <c r="K236" s="14" t="s">
        <v>233</v>
      </c>
      <c r="L236" s="14" t="s">
        <v>234</v>
      </c>
      <c r="M236" s="14">
        <v>42703</v>
      </c>
      <c r="N236" s="14" t="str">
        <f t="shared" si="13"/>
        <v>2016</v>
      </c>
    </row>
    <row r="237" spans="1:14" x14ac:dyDescent="0.25">
      <c r="A237">
        <v>2016</v>
      </c>
      <c r="B237" s="14" t="s">
        <v>78</v>
      </c>
      <c r="C237" t="s">
        <v>113</v>
      </c>
      <c r="D237" s="14" t="s">
        <v>116</v>
      </c>
      <c r="E237">
        <v>5</v>
      </c>
      <c r="F237" t="s">
        <v>211</v>
      </c>
      <c r="G237" t="s">
        <v>234</v>
      </c>
      <c r="H237" t="s">
        <v>233</v>
      </c>
      <c r="I237" s="14" t="s">
        <v>233</v>
      </c>
      <c r="J237" s="14" t="s">
        <v>234</v>
      </c>
      <c r="K237" s="14" t="s">
        <v>234</v>
      </c>
      <c r="L237" s="14" t="s">
        <v>234</v>
      </c>
      <c r="M237" s="14">
        <v>42667</v>
      </c>
      <c r="N237" s="14" t="str">
        <f t="shared" si="13"/>
        <v>2016</v>
      </c>
    </row>
    <row r="238" spans="1:14" x14ac:dyDescent="0.25">
      <c r="A238">
        <v>2015</v>
      </c>
      <c r="B238" s="14" t="s">
        <v>78</v>
      </c>
      <c r="C238" t="s">
        <v>113</v>
      </c>
      <c r="D238" s="14" t="s">
        <v>117</v>
      </c>
      <c r="E238">
        <v>2</v>
      </c>
      <c r="F238" t="s">
        <v>211</v>
      </c>
      <c r="G238" t="s">
        <v>233</v>
      </c>
      <c r="H238" t="s">
        <v>233</v>
      </c>
      <c r="I238" s="14" t="s">
        <v>233</v>
      </c>
      <c r="J238" s="14" t="s">
        <v>234</v>
      </c>
      <c r="K238" s="14" t="s">
        <v>233</v>
      </c>
      <c r="L238" s="14" t="s">
        <v>234</v>
      </c>
      <c r="M238" s="14">
        <v>42524</v>
      </c>
      <c r="N238" s="14" t="str">
        <f t="shared" si="13"/>
        <v>2016</v>
      </c>
    </row>
    <row r="239" spans="1:14" x14ac:dyDescent="0.25">
      <c r="A239">
        <v>2015</v>
      </c>
      <c r="B239" s="14" t="s">
        <v>78</v>
      </c>
      <c r="C239" t="s">
        <v>113</v>
      </c>
      <c r="D239" s="14" t="s">
        <v>116</v>
      </c>
      <c r="E239">
        <v>5</v>
      </c>
      <c r="F239" t="s">
        <v>215</v>
      </c>
      <c r="G239" t="s">
        <v>233</v>
      </c>
      <c r="H239" t="s">
        <v>233</v>
      </c>
      <c r="I239" s="14" t="s">
        <v>234</v>
      </c>
      <c r="J239" s="14" t="s">
        <v>233</v>
      </c>
      <c r="K239" s="14" t="s">
        <v>233</v>
      </c>
      <c r="L239" s="14" t="s">
        <v>234</v>
      </c>
      <c r="M239" s="14">
        <v>42328</v>
      </c>
      <c r="N239" s="14" t="str">
        <f t="shared" si="13"/>
        <v>2015</v>
      </c>
    </row>
    <row r="240" spans="1:14" x14ac:dyDescent="0.25">
      <c r="A240">
        <v>2017</v>
      </c>
      <c r="B240" s="14" t="s">
        <v>78</v>
      </c>
      <c r="C240" t="s">
        <v>120</v>
      </c>
      <c r="D240" s="14" t="s">
        <v>121</v>
      </c>
      <c r="E240">
        <v>2</v>
      </c>
      <c r="F240" t="s">
        <v>211</v>
      </c>
      <c r="G240" t="s">
        <v>233</v>
      </c>
      <c r="H240" t="s">
        <v>233</v>
      </c>
      <c r="I240" s="14" t="s">
        <v>234</v>
      </c>
      <c r="J240" s="14" t="s">
        <v>234</v>
      </c>
      <c r="K240" s="14" t="s">
        <v>234</v>
      </c>
      <c r="L240" s="14" t="s">
        <v>234</v>
      </c>
      <c r="M240" s="14">
        <v>43003</v>
      </c>
      <c r="N240" s="14" t="str">
        <f t="shared" si="13"/>
        <v>2017</v>
      </c>
    </row>
    <row r="241" spans="1:14" x14ac:dyDescent="0.25">
      <c r="A241">
        <v>2016</v>
      </c>
      <c r="B241" s="14" t="s">
        <v>78</v>
      </c>
      <c r="C241" t="s">
        <v>120</v>
      </c>
      <c r="D241" s="14" t="s">
        <v>122</v>
      </c>
      <c r="E241">
        <v>0</v>
      </c>
      <c r="F241" t="s">
        <v>211</v>
      </c>
      <c r="G241" t="s">
        <v>233</v>
      </c>
      <c r="H241" t="s">
        <v>233</v>
      </c>
      <c r="I241" s="14" t="s">
        <v>234</v>
      </c>
      <c r="J241" s="14" t="s">
        <v>234</v>
      </c>
      <c r="K241" s="14" t="s">
        <v>233</v>
      </c>
      <c r="L241" s="14" t="s">
        <v>234</v>
      </c>
      <c r="M241" s="14">
        <v>42720</v>
      </c>
      <c r="N241" s="14" t="str">
        <f t="shared" si="13"/>
        <v>2016</v>
      </c>
    </row>
    <row r="242" spans="1:14" x14ac:dyDescent="0.25">
      <c r="A242">
        <v>2017</v>
      </c>
      <c r="B242" s="14" t="s">
        <v>78</v>
      </c>
      <c r="C242" t="s">
        <v>123</v>
      </c>
      <c r="D242" s="14" t="s">
        <v>124</v>
      </c>
      <c r="E242">
        <v>1</v>
      </c>
      <c r="F242" t="s">
        <v>215</v>
      </c>
      <c r="G242" t="s">
        <v>233</v>
      </c>
      <c r="H242" t="s">
        <v>234</v>
      </c>
      <c r="I242" s="14" t="s">
        <v>233</v>
      </c>
      <c r="J242" s="14" t="s">
        <v>233</v>
      </c>
      <c r="K242" s="14" t="s">
        <v>233</v>
      </c>
      <c r="L242" s="14" t="s">
        <v>234</v>
      </c>
      <c r="M242" s="14">
        <v>43245</v>
      </c>
      <c r="N242" s="14" t="str">
        <f t="shared" si="13"/>
        <v>2018</v>
      </c>
    </row>
    <row r="243" spans="1:14" x14ac:dyDescent="0.25">
      <c r="A243">
        <v>2017</v>
      </c>
      <c r="B243" s="14" t="s">
        <v>78</v>
      </c>
      <c r="C243" t="s">
        <v>123</v>
      </c>
      <c r="D243" s="14" t="s">
        <v>125</v>
      </c>
      <c r="E243">
        <v>7</v>
      </c>
      <c r="F243" t="s">
        <v>215</v>
      </c>
      <c r="G243" t="s">
        <v>233</v>
      </c>
      <c r="H243" t="s">
        <v>234</v>
      </c>
      <c r="I243" s="14" t="s">
        <v>234</v>
      </c>
      <c r="J243" s="14" t="s">
        <v>234</v>
      </c>
      <c r="K243" s="14" t="s">
        <v>234</v>
      </c>
      <c r="L243" s="14" t="s">
        <v>234</v>
      </c>
      <c r="M243" s="14">
        <v>43182</v>
      </c>
      <c r="N243" s="14" t="str">
        <f t="shared" si="13"/>
        <v>2018</v>
      </c>
    </row>
    <row r="244" spans="1:14" x14ac:dyDescent="0.25">
      <c r="A244">
        <v>2017</v>
      </c>
      <c r="B244" s="14" t="s">
        <v>78</v>
      </c>
      <c r="C244" t="s">
        <v>123</v>
      </c>
      <c r="D244" s="14" t="s">
        <v>126</v>
      </c>
      <c r="E244">
        <v>1</v>
      </c>
      <c r="F244" t="s">
        <v>215</v>
      </c>
      <c r="G244" t="s">
        <v>234</v>
      </c>
      <c r="H244" t="s">
        <v>233</v>
      </c>
      <c r="I244" s="14" t="s">
        <v>233</v>
      </c>
      <c r="J244" s="14" t="s">
        <v>233</v>
      </c>
      <c r="K244" s="14" t="s">
        <v>234</v>
      </c>
      <c r="L244" s="14" t="s">
        <v>234</v>
      </c>
      <c r="M244" s="14">
        <v>43155</v>
      </c>
      <c r="N244" s="14" t="str">
        <f t="shared" si="13"/>
        <v>2018</v>
      </c>
    </row>
    <row r="245" spans="1:14" x14ac:dyDescent="0.25">
      <c r="A245">
        <v>2017</v>
      </c>
      <c r="B245" s="14" t="s">
        <v>78</v>
      </c>
      <c r="C245" t="s">
        <v>123</v>
      </c>
      <c r="D245" s="14" t="s">
        <v>126</v>
      </c>
      <c r="E245">
        <v>1</v>
      </c>
      <c r="F245" t="s">
        <v>215</v>
      </c>
      <c r="G245" t="s">
        <v>234</v>
      </c>
      <c r="H245" t="s">
        <v>233</v>
      </c>
      <c r="I245" s="14" t="s">
        <v>233</v>
      </c>
      <c r="J245" s="14" t="s">
        <v>233</v>
      </c>
      <c r="K245" s="14" t="s">
        <v>233</v>
      </c>
      <c r="L245" s="14" t="s">
        <v>233</v>
      </c>
      <c r="M245" s="14">
        <v>43154</v>
      </c>
      <c r="N245" s="14" t="str">
        <f t="shared" si="13"/>
        <v>2018</v>
      </c>
    </row>
    <row r="246" spans="1:14" x14ac:dyDescent="0.25">
      <c r="A246">
        <v>2017</v>
      </c>
      <c r="B246" s="14" t="s">
        <v>78</v>
      </c>
      <c r="C246" t="s">
        <v>123</v>
      </c>
      <c r="D246" s="14" t="s">
        <v>127</v>
      </c>
      <c r="E246">
        <v>2</v>
      </c>
      <c r="F246" t="s">
        <v>215</v>
      </c>
      <c r="G246" t="s">
        <v>233</v>
      </c>
      <c r="H246" t="s">
        <v>233</v>
      </c>
      <c r="I246" s="14" t="s">
        <v>233</v>
      </c>
      <c r="J246" s="14" t="s">
        <v>233</v>
      </c>
      <c r="K246" s="14" t="s">
        <v>234</v>
      </c>
      <c r="L246" s="14" t="s">
        <v>234</v>
      </c>
      <c r="M246" s="14">
        <v>43126</v>
      </c>
      <c r="N246" s="14" t="str">
        <f t="shared" si="13"/>
        <v>2018</v>
      </c>
    </row>
    <row r="247" spans="1:14" x14ac:dyDescent="0.25">
      <c r="A247">
        <v>2017</v>
      </c>
      <c r="B247" s="14" t="s">
        <v>78</v>
      </c>
      <c r="C247" t="s">
        <v>123</v>
      </c>
      <c r="D247" s="14" t="s">
        <v>128</v>
      </c>
      <c r="E247">
        <v>4</v>
      </c>
      <c r="F247" t="s">
        <v>211</v>
      </c>
      <c r="G247" t="s">
        <v>234</v>
      </c>
      <c r="H247" t="s">
        <v>233</v>
      </c>
      <c r="I247" s="14" t="s">
        <v>234</v>
      </c>
      <c r="J247" s="14" t="s">
        <v>234</v>
      </c>
      <c r="K247" s="14" t="s">
        <v>234</v>
      </c>
      <c r="L247" s="14" t="s">
        <v>234</v>
      </c>
      <c r="M247" s="14">
        <v>43119</v>
      </c>
      <c r="N247" s="14" t="str">
        <f t="shared" si="13"/>
        <v>2018</v>
      </c>
    </row>
    <row r="248" spans="1:14" x14ac:dyDescent="0.25">
      <c r="A248">
        <v>2017</v>
      </c>
      <c r="B248" s="14" t="s">
        <v>78</v>
      </c>
      <c r="C248" t="s">
        <v>123</v>
      </c>
      <c r="D248" s="14" t="s">
        <v>129</v>
      </c>
      <c r="E248">
        <v>4</v>
      </c>
      <c r="F248" t="s">
        <v>215</v>
      </c>
      <c r="G248" t="s">
        <v>233</v>
      </c>
      <c r="H248" t="s">
        <v>234</v>
      </c>
      <c r="I248" s="14" t="s">
        <v>234</v>
      </c>
      <c r="J248" s="14" t="s">
        <v>234</v>
      </c>
      <c r="K248" s="14" t="s">
        <v>234</v>
      </c>
      <c r="L248" s="14" t="s">
        <v>234</v>
      </c>
      <c r="M248" s="44">
        <v>43112</v>
      </c>
      <c r="N248" s="14" t="str">
        <f t="shared" si="13"/>
        <v>2018</v>
      </c>
    </row>
    <row r="249" spans="1:14" x14ac:dyDescent="0.25">
      <c r="A249">
        <v>2017</v>
      </c>
      <c r="B249" s="14" t="s">
        <v>78</v>
      </c>
      <c r="C249" t="s">
        <v>123</v>
      </c>
      <c r="D249" s="14" t="s">
        <v>125</v>
      </c>
      <c r="E249">
        <v>5</v>
      </c>
      <c r="F249" t="s">
        <v>215</v>
      </c>
      <c r="G249" t="s">
        <v>233</v>
      </c>
      <c r="H249" t="s">
        <v>233</v>
      </c>
      <c r="I249" s="14" t="s">
        <v>234</v>
      </c>
      <c r="J249" s="14" t="s">
        <v>234</v>
      </c>
      <c r="K249" s="14" t="s">
        <v>234</v>
      </c>
      <c r="L249" s="14" t="s">
        <v>234</v>
      </c>
      <c r="M249" s="14">
        <v>43111</v>
      </c>
      <c r="N249" s="14" t="str">
        <f t="shared" si="13"/>
        <v>2018</v>
      </c>
    </row>
    <row r="250" spans="1:14" x14ac:dyDescent="0.25">
      <c r="A250">
        <v>2017</v>
      </c>
      <c r="B250" s="14" t="s">
        <v>78</v>
      </c>
      <c r="C250" t="s">
        <v>123</v>
      </c>
      <c r="D250" s="14" t="s">
        <v>125</v>
      </c>
      <c r="E250">
        <v>37</v>
      </c>
      <c r="F250" t="s">
        <v>215</v>
      </c>
      <c r="G250" t="s">
        <v>233</v>
      </c>
      <c r="H250" t="s">
        <v>233</v>
      </c>
      <c r="I250" s="14" t="s">
        <v>233</v>
      </c>
      <c r="J250" s="14" t="s">
        <v>234</v>
      </c>
      <c r="K250" s="14" t="s">
        <v>234</v>
      </c>
      <c r="L250" s="14" t="s">
        <v>234</v>
      </c>
      <c r="M250" s="14">
        <v>43088</v>
      </c>
      <c r="N250" s="14" t="str">
        <f t="shared" si="13"/>
        <v>2017</v>
      </c>
    </row>
    <row r="251" spans="1:14" x14ac:dyDescent="0.25">
      <c r="A251">
        <v>2017</v>
      </c>
      <c r="B251" s="14" t="s">
        <v>78</v>
      </c>
      <c r="C251" t="s">
        <v>123</v>
      </c>
      <c r="D251" s="14" t="s">
        <v>129</v>
      </c>
      <c r="E251">
        <v>5</v>
      </c>
      <c r="F251" t="s">
        <v>211</v>
      </c>
      <c r="G251" t="s">
        <v>233</v>
      </c>
      <c r="H251" t="s">
        <v>234</v>
      </c>
      <c r="I251" s="14" t="s">
        <v>234</v>
      </c>
      <c r="J251" s="14" t="s">
        <v>234</v>
      </c>
      <c r="K251" s="14" t="s">
        <v>234</v>
      </c>
      <c r="L251" s="14" t="s">
        <v>234</v>
      </c>
      <c r="M251" s="14">
        <v>43084</v>
      </c>
      <c r="N251" s="14" t="str">
        <f t="shared" si="13"/>
        <v>2017</v>
      </c>
    </row>
    <row r="252" spans="1:14" x14ac:dyDescent="0.25">
      <c r="A252">
        <v>2017</v>
      </c>
      <c r="B252" s="14" t="s">
        <v>78</v>
      </c>
      <c r="C252" t="s">
        <v>123</v>
      </c>
      <c r="D252" s="14" t="s">
        <v>128</v>
      </c>
      <c r="E252">
        <v>5</v>
      </c>
      <c r="F252" t="s">
        <v>215</v>
      </c>
      <c r="G252" t="s">
        <v>233</v>
      </c>
      <c r="H252" t="s">
        <v>233</v>
      </c>
      <c r="I252" s="14" t="s">
        <v>233</v>
      </c>
      <c r="J252" s="14" t="s">
        <v>233</v>
      </c>
      <c r="K252" s="14" t="s">
        <v>234</v>
      </c>
      <c r="L252" s="14" t="s">
        <v>234</v>
      </c>
      <c r="M252" s="14">
        <v>43084</v>
      </c>
      <c r="N252" s="14" t="str">
        <f t="shared" si="13"/>
        <v>2017</v>
      </c>
    </row>
    <row r="253" spans="1:14" x14ac:dyDescent="0.25">
      <c r="A253">
        <v>2017</v>
      </c>
      <c r="B253" s="14" t="s">
        <v>78</v>
      </c>
      <c r="C253" t="s">
        <v>123</v>
      </c>
      <c r="D253" s="14" t="s">
        <v>129</v>
      </c>
      <c r="E253">
        <v>6</v>
      </c>
      <c r="F253" t="s">
        <v>215</v>
      </c>
      <c r="G253" t="s">
        <v>233</v>
      </c>
      <c r="H253" t="s">
        <v>234</v>
      </c>
      <c r="I253" s="14" t="s">
        <v>234</v>
      </c>
      <c r="J253" s="14" t="s">
        <v>233</v>
      </c>
      <c r="K253" s="14" t="s">
        <v>234</v>
      </c>
      <c r="L253" s="14" t="s">
        <v>234</v>
      </c>
      <c r="M253" s="14">
        <v>43080</v>
      </c>
      <c r="N253" s="14" t="str">
        <f t="shared" si="13"/>
        <v>2017</v>
      </c>
    </row>
    <row r="254" spans="1:14" x14ac:dyDescent="0.25">
      <c r="A254">
        <v>2017</v>
      </c>
      <c r="B254" s="14" t="s">
        <v>78</v>
      </c>
      <c r="C254" t="s">
        <v>123</v>
      </c>
      <c r="D254" s="14" t="s">
        <v>129</v>
      </c>
      <c r="E254">
        <v>6</v>
      </c>
      <c r="F254" t="s">
        <v>211</v>
      </c>
      <c r="G254" t="s">
        <v>233</v>
      </c>
      <c r="H254" t="s">
        <v>233</v>
      </c>
      <c r="I254" s="14" t="s">
        <v>234</v>
      </c>
      <c r="J254" s="14" t="s">
        <v>234</v>
      </c>
      <c r="K254" s="14" t="s">
        <v>234</v>
      </c>
      <c r="L254" s="14" t="s">
        <v>234</v>
      </c>
      <c r="M254" s="14">
        <v>43063</v>
      </c>
      <c r="N254" s="14" t="str">
        <f t="shared" si="13"/>
        <v>2017</v>
      </c>
    </row>
    <row r="255" spans="1:14" x14ac:dyDescent="0.25">
      <c r="A255">
        <v>2016</v>
      </c>
      <c r="B255" s="14" t="s">
        <v>78</v>
      </c>
      <c r="C255" t="s">
        <v>123</v>
      </c>
      <c r="D255" s="14" t="s">
        <v>125</v>
      </c>
      <c r="E255">
        <v>8</v>
      </c>
      <c r="F255" t="s">
        <v>215</v>
      </c>
      <c r="G255" t="s">
        <v>233</v>
      </c>
      <c r="H255" t="s">
        <v>233</v>
      </c>
      <c r="I255" s="14" t="s">
        <v>233</v>
      </c>
      <c r="J255" s="14" t="s">
        <v>234</v>
      </c>
      <c r="K255" s="14" t="s">
        <v>233</v>
      </c>
      <c r="L255" s="14" t="s">
        <v>234</v>
      </c>
      <c r="M255" s="14">
        <v>42933</v>
      </c>
      <c r="N255" s="14" t="str">
        <f t="shared" si="13"/>
        <v>2017</v>
      </c>
    </row>
    <row r="256" spans="1:14" x14ac:dyDescent="0.25">
      <c r="A256">
        <v>2016</v>
      </c>
      <c r="B256" s="14" t="s">
        <v>78</v>
      </c>
      <c r="C256" t="s">
        <v>123</v>
      </c>
      <c r="D256" s="14" t="s">
        <v>125</v>
      </c>
      <c r="E256">
        <v>11</v>
      </c>
      <c r="F256" t="s">
        <v>215</v>
      </c>
      <c r="G256" t="s">
        <v>233</v>
      </c>
      <c r="H256" t="s">
        <v>233</v>
      </c>
      <c r="I256" s="14" t="s">
        <v>234</v>
      </c>
      <c r="J256" s="14" t="s">
        <v>234</v>
      </c>
      <c r="K256" s="14" t="s">
        <v>233</v>
      </c>
      <c r="L256" s="14" t="s">
        <v>234</v>
      </c>
      <c r="M256" s="14">
        <v>42895</v>
      </c>
      <c r="N256" s="14" t="str">
        <f t="shared" si="13"/>
        <v>2017</v>
      </c>
    </row>
    <row r="257" spans="1:16" x14ac:dyDescent="0.25">
      <c r="A257">
        <v>2016</v>
      </c>
      <c r="B257" s="14" t="s">
        <v>78</v>
      </c>
      <c r="C257" t="s">
        <v>123</v>
      </c>
      <c r="D257" s="14" t="s">
        <v>125</v>
      </c>
      <c r="E257">
        <v>8</v>
      </c>
      <c r="F257" t="s">
        <v>211</v>
      </c>
      <c r="G257" t="s">
        <v>233</v>
      </c>
      <c r="H257" t="s">
        <v>233</v>
      </c>
      <c r="I257" s="14" t="s">
        <v>233</v>
      </c>
      <c r="J257" s="14" t="s">
        <v>234</v>
      </c>
      <c r="K257" s="14" t="s">
        <v>233</v>
      </c>
      <c r="L257" s="14" t="s">
        <v>234</v>
      </c>
      <c r="M257" s="14">
        <v>42881</v>
      </c>
      <c r="N257" s="14" t="str">
        <f t="shared" si="13"/>
        <v>2017</v>
      </c>
    </row>
    <row r="258" spans="1:16" x14ac:dyDescent="0.25">
      <c r="A258">
        <v>2016</v>
      </c>
      <c r="B258" s="14" t="s">
        <v>78</v>
      </c>
      <c r="C258" t="s">
        <v>123</v>
      </c>
      <c r="D258" s="14" t="s">
        <v>129</v>
      </c>
      <c r="E258">
        <v>12</v>
      </c>
      <c r="F258" t="s">
        <v>211</v>
      </c>
      <c r="G258" t="s">
        <v>233</v>
      </c>
      <c r="H258" t="s">
        <v>233</v>
      </c>
      <c r="I258" s="14" t="s">
        <v>234</v>
      </c>
      <c r="J258" s="14" t="s">
        <v>234</v>
      </c>
      <c r="K258" s="14" t="s">
        <v>233</v>
      </c>
      <c r="L258" s="14" t="s">
        <v>234</v>
      </c>
      <c r="M258" s="14">
        <v>42790</v>
      </c>
      <c r="N258" s="14" t="str">
        <f t="shared" si="13"/>
        <v>2017</v>
      </c>
    </row>
    <row r="259" spans="1:16" x14ac:dyDescent="0.25">
      <c r="A259">
        <v>2015</v>
      </c>
      <c r="B259" s="14" t="s">
        <v>78</v>
      </c>
      <c r="C259" t="s">
        <v>123</v>
      </c>
      <c r="D259" s="14" t="s">
        <v>130</v>
      </c>
      <c r="E259">
        <v>2</v>
      </c>
      <c r="F259" t="s">
        <v>211</v>
      </c>
      <c r="G259" t="s">
        <v>233</v>
      </c>
      <c r="H259" t="s">
        <v>233</v>
      </c>
      <c r="I259" s="14" t="s">
        <v>234</v>
      </c>
      <c r="J259" s="14" t="s">
        <v>233</v>
      </c>
      <c r="K259" s="14" t="s">
        <v>233</v>
      </c>
      <c r="L259" s="14" t="s">
        <v>234</v>
      </c>
      <c r="M259" s="14">
        <v>42488</v>
      </c>
      <c r="N259" s="14" t="str">
        <f t="shared" si="13"/>
        <v>2016</v>
      </c>
    </row>
    <row r="260" spans="1:16" x14ac:dyDescent="0.25">
      <c r="A260">
        <v>2014</v>
      </c>
      <c r="B260" s="14" t="s">
        <v>78</v>
      </c>
      <c r="C260" t="s">
        <v>123</v>
      </c>
      <c r="D260" s="14" t="s">
        <v>131</v>
      </c>
      <c r="E260">
        <v>8</v>
      </c>
      <c r="F260" t="s">
        <v>215</v>
      </c>
      <c r="G260" s="33" t="s">
        <v>233</v>
      </c>
      <c r="H260" t="s">
        <v>233</v>
      </c>
      <c r="I260" s="14" t="s">
        <v>233</v>
      </c>
      <c r="J260" s="14" t="s">
        <v>234</v>
      </c>
      <c r="K260" s="14" t="s">
        <v>233</v>
      </c>
      <c r="L260" s="14" t="s">
        <v>234</v>
      </c>
      <c r="M260" s="14">
        <v>42174</v>
      </c>
      <c r="N260" s="14" t="str">
        <f t="shared" si="13"/>
        <v>2015</v>
      </c>
      <c r="P260">
        <f>AVERAGE(E158:E267)</f>
        <v>7.9272727272727277</v>
      </c>
    </row>
    <row r="261" spans="1:16" x14ac:dyDescent="0.25">
      <c r="A261">
        <v>2014</v>
      </c>
      <c r="B261" s="14" t="s">
        <v>78</v>
      </c>
      <c r="C261" t="s">
        <v>123</v>
      </c>
      <c r="D261" s="14" t="s">
        <v>131</v>
      </c>
      <c r="E261">
        <v>4</v>
      </c>
      <c r="F261" t="s">
        <v>211</v>
      </c>
      <c r="G261" s="33" t="s">
        <v>233</v>
      </c>
      <c r="H261" t="s">
        <v>233</v>
      </c>
      <c r="I261" s="14" t="s">
        <v>234</v>
      </c>
      <c r="J261" s="14" t="s">
        <v>234</v>
      </c>
      <c r="K261" s="14" t="s">
        <v>233</v>
      </c>
      <c r="L261" s="14" t="s">
        <v>234</v>
      </c>
      <c r="M261" s="14">
        <v>42146</v>
      </c>
      <c r="N261" s="14" t="str">
        <f t="shared" ref="N261:N324" si="14">TEXT(M261,"aaaa")</f>
        <v>2015</v>
      </c>
    </row>
    <row r="262" spans="1:16" x14ac:dyDescent="0.25">
      <c r="A262">
        <v>2016</v>
      </c>
      <c r="B262" s="14" t="s">
        <v>78</v>
      </c>
      <c r="C262" t="s">
        <v>132</v>
      </c>
      <c r="D262" s="14" t="s">
        <v>133</v>
      </c>
      <c r="E262">
        <v>0</v>
      </c>
      <c r="F262" t="s">
        <v>215</v>
      </c>
      <c r="G262" s="33" t="s">
        <v>233</v>
      </c>
      <c r="H262" t="s">
        <v>234</v>
      </c>
      <c r="I262" s="14" t="s">
        <v>233</v>
      </c>
      <c r="J262" s="14" t="s">
        <v>234</v>
      </c>
      <c r="K262" s="14" t="s">
        <v>233</v>
      </c>
      <c r="L262" s="14" t="s">
        <v>234</v>
      </c>
      <c r="M262" s="14">
        <v>42888</v>
      </c>
      <c r="N262" s="14" t="str">
        <f t="shared" si="14"/>
        <v>2017</v>
      </c>
    </row>
    <row r="263" spans="1:16" x14ac:dyDescent="0.25">
      <c r="A263">
        <v>2016</v>
      </c>
      <c r="B263" s="14" t="s">
        <v>78</v>
      </c>
      <c r="C263" t="s">
        <v>132</v>
      </c>
      <c r="D263" s="14" t="s">
        <v>134</v>
      </c>
      <c r="E263">
        <v>4</v>
      </c>
      <c r="F263" t="s">
        <v>215</v>
      </c>
      <c r="G263" s="33" t="s">
        <v>233</v>
      </c>
      <c r="H263" t="s">
        <v>233</v>
      </c>
      <c r="I263" s="14" t="s">
        <v>233</v>
      </c>
      <c r="J263" s="14" t="s">
        <v>234</v>
      </c>
      <c r="K263" s="14" t="s">
        <v>233</v>
      </c>
      <c r="L263" s="14" t="s">
        <v>234</v>
      </c>
      <c r="M263" s="14">
        <v>42758</v>
      </c>
      <c r="N263" s="14" t="str">
        <f t="shared" si="14"/>
        <v>2017</v>
      </c>
    </row>
    <row r="264" spans="1:16" x14ac:dyDescent="0.25">
      <c r="A264">
        <v>2016</v>
      </c>
      <c r="B264" s="14" t="s">
        <v>78</v>
      </c>
      <c r="C264" t="s">
        <v>132</v>
      </c>
      <c r="D264" s="14" t="s">
        <v>135</v>
      </c>
      <c r="E264">
        <v>25</v>
      </c>
      <c r="F264" t="s">
        <v>215</v>
      </c>
      <c r="G264" s="33" t="s">
        <v>233</v>
      </c>
      <c r="H264" t="s">
        <v>233</v>
      </c>
      <c r="I264" s="14" t="s">
        <v>234</v>
      </c>
      <c r="J264" s="14" t="s">
        <v>234</v>
      </c>
      <c r="K264" s="14" t="s">
        <v>233</v>
      </c>
      <c r="L264" s="14" t="s">
        <v>234</v>
      </c>
      <c r="M264" s="14">
        <v>42720</v>
      </c>
      <c r="N264" s="14" t="str">
        <f t="shared" si="14"/>
        <v>2016</v>
      </c>
    </row>
    <row r="265" spans="1:16" x14ac:dyDescent="0.25">
      <c r="A265">
        <v>2015</v>
      </c>
      <c r="B265" s="14" t="s">
        <v>78</v>
      </c>
      <c r="C265" t="s">
        <v>132</v>
      </c>
      <c r="D265" s="14" t="s">
        <v>133</v>
      </c>
      <c r="E265">
        <v>4</v>
      </c>
      <c r="F265" t="s">
        <v>211</v>
      </c>
      <c r="G265" s="33" t="s">
        <v>233</v>
      </c>
      <c r="H265" t="s">
        <v>233</v>
      </c>
      <c r="I265" s="14" t="s">
        <v>233</v>
      </c>
      <c r="J265" s="14" t="s">
        <v>234</v>
      </c>
      <c r="K265" s="14" t="s">
        <v>233</v>
      </c>
      <c r="L265" s="14" t="s">
        <v>234</v>
      </c>
      <c r="M265" s="14">
        <v>42538</v>
      </c>
      <c r="N265" s="14" t="str">
        <f t="shared" si="14"/>
        <v>2016</v>
      </c>
    </row>
    <row r="266" spans="1:16" x14ac:dyDescent="0.25">
      <c r="A266">
        <v>2015</v>
      </c>
      <c r="B266" s="14" t="s">
        <v>78</v>
      </c>
      <c r="C266" t="s">
        <v>132</v>
      </c>
      <c r="D266" s="14" t="s">
        <v>136</v>
      </c>
      <c r="E266">
        <v>6</v>
      </c>
      <c r="F266" t="s">
        <v>211</v>
      </c>
      <c r="G266" s="33" t="s">
        <v>233</v>
      </c>
      <c r="H266" t="s">
        <v>233</v>
      </c>
      <c r="I266" s="14" t="s">
        <v>234</v>
      </c>
      <c r="J266" s="14" t="s">
        <v>234</v>
      </c>
      <c r="K266" s="14" t="s">
        <v>233</v>
      </c>
      <c r="L266" s="14" t="s">
        <v>234</v>
      </c>
      <c r="M266" s="14">
        <v>42515</v>
      </c>
      <c r="N266" s="14" t="str">
        <f t="shared" si="14"/>
        <v>2016</v>
      </c>
    </row>
    <row r="267" spans="1:16" x14ac:dyDescent="0.25">
      <c r="A267">
        <v>2014</v>
      </c>
      <c r="B267" s="14" t="s">
        <v>78</v>
      </c>
      <c r="C267" t="s">
        <v>132</v>
      </c>
      <c r="D267" s="14" t="s">
        <v>137</v>
      </c>
      <c r="E267">
        <v>16</v>
      </c>
      <c r="F267" t="s">
        <v>211</v>
      </c>
      <c r="G267" s="33" t="s">
        <v>233</v>
      </c>
      <c r="H267" t="s">
        <v>233</v>
      </c>
      <c r="I267" s="14" t="s">
        <v>234</v>
      </c>
      <c r="J267" s="14" t="s">
        <v>234</v>
      </c>
      <c r="K267" s="14" t="s">
        <v>233</v>
      </c>
      <c r="L267" s="14" t="s">
        <v>234</v>
      </c>
      <c r="M267" s="14">
        <v>42060</v>
      </c>
      <c r="N267" s="14" t="str">
        <f t="shared" si="14"/>
        <v>2015</v>
      </c>
    </row>
    <row r="268" spans="1:16" x14ac:dyDescent="0.25">
      <c r="A268">
        <v>2017</v>
      </c>
      <c r="B268" s="14" t="s">
        <v>138</v>
      </c>
      <c r="C268" t="s">
        <v>139</v>
      </c>
      <c r="D268" s="14" t="s">
        <v>140</v>
      </c>
      <c r="E268">
        <v>0</v>
      </c>
      <c r="F268" t="s">
        <v>211</v>
      </c>
      <c r="G268" s="33" t="s">
        <v>233</v>
      </c>
      <c r="H268" t="s">
        <v>233</v>
      </c>
      <c r="I268" s="14" t="s">
        <v>233</v>
      </c>
      <c r="J268" s="14" t="s">
        <v>234</v>
      </c>
      <c r="K268" s="14" t="s">
        <v>233</v>
      </c>
      <c r="L268" s="14" t="s">
        <v>233</v>
      </c>
      <c r="M268" s="14">
        <v>43238</v>
      </c>
      <c r="N268" s="14" t="str">
        <f t="shared" si="14"/>
        <v>2018</v>
      </c>
    </row>
    <row r="269" spans="1:16" x14ac:dyDescent="0.25">
      <c r="A269">
        <v>2017</v>
      </c>
      <c r="B269" s="14" t="s">
        <v>138</v>
      </c>
      <c r="C269" t="s">
        <v>139</v>
      </c>
      <c r="D269" s="14" t="s">
        <v>141</v>
      </c>
      <c r="E269">
        <v>16</v>
      </c>
      <c r="F269" t="s">
        <v>215</v>
      </c>
      <c r="G269" s="33" t="s">
        <v>233</v>
      </c>
      <c r="H269" t="s">
        <v>233</v>
      </c>
      <c r="I269" s="14" t="s">
        <v>234</v>
      </c>
      <c r="J269" s="14" t="s">
        <v>234</v>
      </c>
      <c r="K269" s="14" t="s">
        <v>233</v>
      </c>
      <c r="L269" s="14" t="s">
        <v>234</v>
      </c>
      <c r="M269" s="14">
        <v>43210</v>
      </c>
      <c r="N269" s="14" t="str">
        <f t="shared" si="14"/>
        <v>2018</v>
      </c>
    </row>
    <row r="270" spans="1:16" x14ac:dyDescent="0.25">
      <c r="A270">
        <v>2017</v>
      </c>
      <c r="B270" s="14" t="s">
        <v>138</v>
      </c>
      <c r="C270" t="s">
        <v>139</v>
      </c>
      <c r="D270" s="14" t="s">
        <v>140</v>
      </c>
      <c r="E270">
        <v>70</v>
      </c>
      <c r="F270" t="s">
        <v>211</v>
      </c>
      <c r="G270" s="33" t="s">
        <v>233</v>
      </c>
      <c r="H270" t="s">
        <v>233</v>
      </c>
      <c r="I270" s="14" t="s">
        <v>234</v>
      </c>
      <c r="J270" s="14" t="s">
        <v>234</v>
      </c>
      <c r="K270" s="14" t="s">
        <v>234</v>
      </c>
      <c r="L270" s="14" t="s">
        <v>234</v>
      </c>
      <c r="M270" s="14">
        <v>43195</v>
      </c>
      <c r="N270" s="14" t="str">
        <f t="shared" si="14"/>
        <v>2018</v>
      </c>
    </row>
    <row r="271" spans="1:16" x14ac:dyDescent="0.25">
      <c r="A271">
        <v>2017</v>
      </c>
      <c r="B271" s="14" t="s">
        <v>138</v>
      </c>
      <c r="C271" t="s">
        <v>139</v>
      </c>
      <c r="D271" s="14" t="s">
        <v>141</v>
      </c>
      <c r="E271">
        <v>10</v>
      </c>
      <c r="F271" t="s">
        <v>215</v>
      </c>
      <c r="G271" s="33" t="s">
        <v>233</v>
      </c>
      <c r="H271" t="s">
        <v>234</v>
      </c>
      <c r="I271" s="14" t="s">
        <v>234</v>
      </c>
      <c r="J271" s="14" t="s">
        <v>234</v>
      </c>
      <c r="K271" s="14" t="s">
        <v>233</v>
      </c>
      <c r="L271" s="14" t="s">
        <v>234</v>
      </c>
      <c r="M271" s="14">
        <v>43182</v>
      </c>
      <c r="N271" s="14" t="str">
        <f t="shared" si="14"/>
        <v>2018</v>
      </c>
    </row>
    <row r="272" spans="1:16" x14ac:dyDescent="0.25">
      <c r="A272">
        <v>2017</v>
      </c>
      <c r="B272" s="14" t="s">
        <v>138</v>
      </c>
      <c r="C272" t="s">
        <v>139</v>
      </c>
      <c r="D272" s="14" t="s">
        <v>142</v>
      </c>
      <c r="E272">
        <v>3</v>
      </c>
      <c r="F272" t="s">
        <v>215</v>
      </c>
      <c r="G272" s="33" t="s">
        <v>233</v>
      </c>
      <c r="H272" t="s">
        <v>233</v>
      </c>
      <c r="I272" s="14" t="s">
        <v>233</v>
      </c>
      <c r="J272" s="14" t="s">
        <v>234</v>
      </c>
      <c r="K272" s="14" t="s">
        <v>234</v>
      </c>
      <c r="L272" s="14" t="s">
        <v>234</v>
      </c>
      <c r="M272" s="14">
        <v>43154</v>
      </c>
      <c r="N272" s="14" t="str">
        <f t="shared" si="14"/>
        <v>2018</v>
      </c>
    </row>
    <row r="273" spans="1:14" x14ac:dyDescent="0.25">
      <c r="A273">
        <v>2017</v>
      </c>
      <c r="B273" s="14" t="s">
        <v>138</v>
      </c>
      <c r="C273" t="s">
        <v>139</v>
      </c>
      <c r="D273" s="14" t="s">
        <v>143</v>
      </c>
      <c r="E273">
        <v>2</v>
      </c>
      <c r="F273" t="s">
        <v>215</v>
      </c>
      <c r="G273" s="33" t="s">
        <v>234</v>
      </c>
      <c r="H273" t="s">
        <v>233</v>
      </c>
      <c r="I273" s="14" t="s">
        <v>233</v>
      </c>
      <c r="J273" s="14" t="s">
        <v>234</v>
      </c>
      <c r="K273" s="14" t="s">
        <v>233</v>
      </c>
      <c r="L273" s="14" t="s">
        <v>234</v>
      </c>
      <c r="M273" s="14">
        <v>43150</v>
      </c>
      <c r="N273" s="14" t="str">
        <f t="shared" si="14"/>
        <v>2018</v>
      </c>
    </row>
    <row r="274" spans="1:14" x14ac:dyDescent="0.25">
      <c r="A274">
        <v>2017</v>
      </c>
      <c r="B274" s="14" t="s">
        <v>138</v>
      </c>
      <c r="C274" t="s">
        <v>139</v>
      </c>
      <c r="D274" s="14" t="s">
        <v>144</v>
      </c>
      <c r="E274">
        <v>0</v>
      </c>
      <c r="F274" t="s">
        <v>215</v>
      </c>
      <c r="G274" s="33" t="s">
        <v>233</v>
      </c>
      <c r="H274" t="s">
        <v>233</v>
      </c>
      <c r="I274" s="14" t="s">
        <v>233</v>
      </c>
      <c r="J274" s="14" t="s">
        <v>234</v>
      </c>
      <c r="K274" s="14" t="s">
        <v>234</v>
      </c>
      <c r="L274" s="14" t="s">
        <v>234</v>
      </c>
      <c r="M274" s="14">
        <v>43147</v>
      </c>
      <c r="N274" s="14" t="str">
        <f t="shared" si="14"/>
        <v>2018</v>
      </c>
    </row>
    <row r="275" spans="1:14" x14ac:dyDescent="0.25">
      <c r="A275">
        <v>2017</v>
      </c>
      <c r="B275" s="14" t="s">
        <v>138</v>
      </c>
      <c r="C275" t="s">
        <v>139</v>
      </c>
      <c r="D275" s="14" t="s">
        <v>145</v>
      </c>
      <c r="E275">
        <v>3</v>
      </c>
      <c r="F275" t="s">
        <v>211</v>
      </c>
      <c r="G275" s="33" t="s">
        <v>233</v>
      </c>
      <c r="H275" t="s">
        <v>233</v>
      </c>
      <c r="I275" s="14" t="s">
        <v>233</v>
      </c>
      <c r="J275" s="14" t="s">
        <v>234</v>
      </c>
      <c r="K275" s="14" t="s">
        <v>234</v>
      </c>
      <c r="L275" s="14" t="s">
        <v>234</v>
      </c>
      <c r="M275" s="14">
        <v>43122</v>
      </c>
      <c r="N275" s="14" t="str">
        <f t="shared" si="14"/>
        <v>2018</v>
      </c>
    </row>
    <row r="276" spans="1:14" x14ac:dyDescent="0.25">
      <c r="A276">
        <v>2017</v>
      </c>
      <c r="B276" s="14" t="s">
        <v>138</v>
      </c>
      <c r="C276" t="s">
        <v>139</v>
      </c>
      <c r="D276" s="14" t="s">
        <v>144</v>
      </c>
      <c r="E276">
        <v>1</v>
      </c>
      <c r="F276" t="s">
        <v>215</v>
      </c>
      <c r="G276" s="33" t="s">
        <v>233</v>
      </c>
      <c r="H276" t="s">
        <v>233</v>
      </c>
      <c r="I276" s="14" t="s">
        <v>233</v>
      </c>
      <c r="J276" s="14" t="s">
        <v>233</v>
      </c>
      <c r="K276" s="14" t="s">
        <v>233</v>
      </c>
      <c r="L276" s="14" t="s">
        <v>234</v>
      </c>
      <c r="M276" s="14">
        <v>43090</v>
      </c>
      <c r="N276" s="14" t="str">
        <f t="shared" si="14"/>
        <v>2017</v>
      </c>
    </row>
    <row r="277" spans="1:14" x14ac:dyDescent="0.25">
      <c r="A277">
        <v>2017</v>
      </c>
      <c r="B277" s="14" t="s">
        <v>138</v>
      </c>
      <c r="C277" t="s">
        <v>139</v>
      </c>
      <c r="D277" s="14" t="s">
        <v>140</v>
      </c>
      <c r="E277">
        <v>2</v>
      </c>
      <c r="F277" t="s">
        <v>215</v>
      </c>
      <c r="G277" s="33" t="s">
        <v>233</v>
      </c>
      <c r="H277" t="s">
        <v>233</v>
      </c>
      <c r="I277" s="14" t="s">
        <v>234</v>
      </c>
      <c r="J277" s="14" t="s">
        <v>234</v>
      </c>
      <c r="K277" s="14" t="s">
        <v>234</v>
      </c>
      <c r="L277" s="14" t="s">
        <v>234</v>
      </c>
      <c r="M277" s="14">
        <v>43087</v>
      </c>
      <c r="N277" s="14" t="str">
        <f t="shared" si="14"/>
        <v>2017</v>
      </c>
    </row>
    <row r="278" spans="1:14" x14ac:dyDescent="0.25">
      <c r="A278">
        <v>2017</v>
      </c>
      <c r="B278" s="14" t="s">
        <v>138</v>
      </c>
      <c r="C278" t="s">
        <v>139</v>
      </c>
      <c r="D278" s="14" t="s">
        <v>140</v>
      </c>
      <c r="E278">
        <v>2</v>
      </c>
      <c r="F278" t="s">
        <v>211</v>
      </c>
      <c r="G278" s="33" t="s">
        <v>233</v>
      </c>
      <c r="H278" t="s">
        <v>234</v>
      </c>
      <c r="I278" s="14" t="s">
        <v>233</v>
      </c>
      <c r="J278" s="14" t="s">
        <v>234</v>
      </c>
      <c r="K278" s="14" t="s">
        <v>234</v>
      </c>
      <c r="L278" s="14" t="s">
        <v>234</v>
      </c>
      <c r="M278" s="14">
        <v>43087</v>
      </c>
      <c r="N278" s="14" t="str">
        <f t="shared" si="14"/>
        <v>2017</v>
      </c>
    </row>
    <row r="279" spans="1:14" x14ac:dyDescent="0.25">
      <c r="A279">
        <v>2017</v>
      </c>
      <c r="B279" s="14" t="s">
        <v>138</v>
      </c>
      <c r="C279" t="s">
        <v>139</v>
      </c>
      <c r="D279" t="s">
        <v>143</v>
      </c>
      <c r="E279">
        <v>5</v>
      </c>
      <c r="F279" t="s">
        <v>215</v>
      </c>
      <c r="G279" s="33" t="s">
        <v>233</v>
      </c>
      <c r="H279" t="s">
        <v>233</v>
      </c>
      <c r="I279" s="14" t="s">
        <v>234</v>
      </c>
      <c r="J279" s="14" t="s">
        <v>234</v>
      </c>
      <c r="K279" s="14" t="s">
        <v>234</v>
      </c>
      <c r="L279" s="14" t="s">
        <v>234</v>
      </c>
      <c r="M279" s="14">
        <v>43084</v>
      </c>
      <c r="N279" s="14" t="str">
        <f t="shared" si="14"/>
        <v>2017</v>
      </c>
    </row>
    <row r="280" spans="1:14" x14ac:dyDescent="0.25">
      <c r="A280">
        <v>2017</v>
      </c>
      <c r="B280" s="14" t="s">
        <v>138</v>
      </c>
      <c r="C280" t="s">
        <v>139</v>
      </c>
      <c r="D280" s="14" t="s">
        <v>142</v>
      </c>
      <c r="E280">
        <v>3</v>
      </c>
      <c r="F280" t="s">
        <v>215</v>
      </c>
      <c r="G280" s="33" t="s">
        <v>233</v>
      </c>
      <c r="H280" t="s">
        <v>233</v>
      </c>
      <c r="I280" s="14" t="s">
        <v>233</v>
      </c>
      <c r="J280" s="14" t="s">
        <v>234</v>
      </c>
      <c r="K280" s="14" t="s">
        <v>234</v>
      </c>
      <c r="L280" s="14" t="s">
        <v>234</v>
      </c>
      <c r="M280" s="14">
        <v>43082</v>
      </c>
      <c r="N280" s="14" t="str">
        <f t="shared" si="14"/>
        <v>2017</v>
      </c>
    </row>
    <row r="281" spans="1:14" x14ac:dyDescent="0.25">
      <c r="A281">
        <v>2017</v>
      </c>
      <c r="B281" s="14" t="s">
        <v>138</v>
      </c>
      <c r="C281" t="s">
        <v>139</v>
      </c>
      <c r="D281" s="14" t="s">
        <v>141</v>
      </c>
      <c r="E281">
        <v>1</v>
      </c>
      <c r="F281" t="s">
        <v>215</v>
      </c>
      <c r="G281" s="33" t="s">
        <v>233</v>
      </c>
      <c r="H281" t="s">
        <v>233</v>
      </c>
      <c r="I281" s="14" t="s">
        <v>233</v>
      </c>
      <c r="J281" s="14" t="s">
        <v>234</v>
      </c>
      <c r="K281" s="14" t="s">
        <v>234</v>
      </c>
      <c r="L281" s="14" t="s">
        <v>234</v>
      </c>
      <c r="M281" s="14">
        <v>42998</v>
      </c>
      <c r="N281" s="14" t="str">
        <f t="shared" si="14"/>
        <v>2017</v>
      </c>
    </row>
    <row r="282" spans="1:14" x14ac:dyDescent="0.25">
      <c r="A282">
        <v>2016</v>
      </c>
      <c r="B282" s="14" t="s">
        <v>138</v>
      </c>
      <c r="C282" t="s">
        <v>139</v>
      </c>
      <c r="D282" s="14" t="s">
        <v>143</v>
      </c>
      <c r="E282">
        <v>3</v>
      </c>
      <c r="F282" t="s">
        <v>215</v>
      </c>
      <c r="G282" s="33" t="s">
        <v>233</v>
      </c>
      <c r="H282" t="s">
        <v>233</v>
      </c>
      <c r="I282" s="14" t="s">
        <v>233</v>
      </c>
      <c r="J282" s="14" t="s">
        <v>234</v>
      </c>
      <c r="K282" s="14" t="s">
        <v>233</v>
      </c>
      <c r="L282" s="14" t="s">
        <v>234</v>
      </c>
      <c r="M282" s="14">
        <v>42944</v>
      </c>
      <c r="N282" s="14" t="str">
        <f t="shared" si="14"/>
        <v>2017</v>
      </c>
    </row>
    <row r="283" spans="1:14" x14ac:dyDescent="0.25">
      <c r="A283">
        <v>2016</v>
      </c>
      <c r="B283" s="14" t="s">
        <v>138</v>
      </c>
      <c r="C283" t="s">
        <v>139</v>
      </c>
      <c r="D283" s="14" t="s">
        <v>140</v>
      </c>
      <c r="E283">
        <v>10</v>
      </c>
      <c r="F283" t="s">
        <v>211</v>
      </c>
      <c r="G283" s="33" t="s">
        <v>233</v>
      </c>
      <c r="H283" t="s">
        <v>233</v>
      </c>
      <c r="I283" s="14" t="s">
        <v>234</v>
      </c>
      <c r="J283" s="14" t="s">
        <v>234</v>
      </c>
      <c r="K283" s="14" t="s">
        <v>234</v>
      </c>
      <c r="L283" s="14" t="s">
        <v>234</v>
      </c>
      <c r="M283" s="14">
        <v>42930</v>
      </c>
      <c r="N283" s="14" t="str">
        <f t="shared" si="14"/>
        <v>2017</v>
      </c>
    </row>
    <row r="284" spans="1:14" x14ac:dyDescent="0.25">
      <c r="A284">
        <v>2016</v>
      </c>
      <c r="B284" s="14" t="s">
        <v>138</v>
      </c>
      <c r="C284" t="s">
        <v>139</v>
      </c>
      <c r="D284" s="14" t="s">
        <v>146</v>
      </c>
      <c r="E284">
        <v>0</v>
      </c>
      <c r="F284" t="s">
        <v>215</v>
      </c>
      <c r="G284" s="33" t="s">
        <v>233</v>
      </c>
      <c r="H284" t="s">
        <v>233</v>
      </c>
      <c r="I284" s="14" t="s">
        <v>233</v>
      </c>
      <c r="J284" s="14" t="s">
        <v>234</v>
      </c>
      <c r="K284" s="14" t="s">
        <v>233</v>
      </c>
      <c r="L284" s="14" t="s">
        <v>234</v>
      </c>
      <c r="M284" s="14">
        <v>42911</v>
      </c>
      <c r="N284" s="14" t="str">
        <f t="shared" si="14"/>
        <v>2017</v>
      </c>
    </row>
    <row r="285" spans="1:14" x14ac:dyDescent="0.25">
      <c r="A285">
        <v>2016</v>
      </c>
      <c r="B285" s="14" t="s">
        <v>138</v>
      </c>
      <c r="C285" t="s">
        <v>139</v>
      </c>
      <c r="D285" s="14" t="s">
        <v>140</v>
      </c>
      <c r="E285">
        <v>8</v>
      </c>
      <c r="F285" t="s">
        <v>211</v>
      </c>
      <c r="G285" s="33" t="s">
        <v>233</v>
      </c>
      <c r="H285" t="s">
        <v>233</v>
      </c>
      <c r="I285" s="14" t="s">
        <v>233</v>
      </c>
      <c r="J285" s="14" t="s">
        <v>233</v>
      </c>
      <c r="K285" s="14" t="s">
        <v>234</v>
      </c>
      <c r="L285" s="14" t="s">
        <v>234</v>
      </c>
      <c r="M285" s="14">
        <v>42906</v>
      </c>
      <c r="N285" s="14" t="str">
        <f t="shared" si="14"/>
        <v>2017</v>
      </c>
    </row>
    <row r="286" spans="1:14" x14ac:dyDescent="0.25">
      <c r="A286">
        <v>2016</v>
      </c>
      <c r="B286" s="14" t="s">
        <v>138</v>
      </c>
      <c r="C286" t="s">
        <v>139</v>
      </c>
      <c r="D286" s="14" t="s">
        <v>140</v>
      </c>
      <c r="E286">
        <v>1</v>
      </c>
      <c r="F286" t="s">
        <v>215</v>
      </c>
      <c r="G286" s="33" t="s">
        <v>233</v>
      </c>
      <c r="H286" t="s">
        <v>233</v>
      </c>
      <c r="I286" s="14" t="s">
        <v>233</v>
      </c>
      <c r="J286" s="14" t="s">
        <v>234</v>
      </c>
      <c r="K286" s="14" t="s">
        <v>234</v>
      </c>
      <c r="L286" s="14" t="s">
        <v>234</v>
      </c>
      <c r="M286" s="14">
        <v>42894</v>
      </c>
      <c r="N286" s="14" t="str">
        <f t="shared" si="14"/>
        <v>2017</v>
      </c>
    </row>
    <row r="287" spans="1:14" x14ac:dyDescent="0.25">
      <c r="A287">
        <v>2016</v>
      </c>
      <c r="B287" s="14" t="s">
        <v>138</v>
      </c>
      <c r="C287" t="s">
        <v>139</v>
      </c>
      <c r="D287" s="14" t="s">
        <v>144</v>
      </c>
      <c r="E287">
        <v>1</v>
      </c>
      <c r="F287" t="s">
        <v>215</v>
      </c>
      <c r="G287" s="33" t="s">
        <v>233</v>
      </c>
      <c r="H287" t="s">
        <v>233</v>
      </c>
      <c r="I287" s="14" t="s">
        <v>233</v>
      </c>
      <c r="J287" s="14" t="s">
        <v>234</v>
      </c>
      <c r="K287" s="14" t="s">
        <v>233</v>
      </c>
      <c r="L287" s="14" t="s">
        <v>234</v>
      </c>
      <c r="M287" s="14">
        <v>42894</v>
      </c>
      <c r="N287" s="14" t="str">
        <f t="shared" si="14"/>
        <v>2017</v>
      </c>
    </row>
    <row r="288" spans="1:14" x14ac:dyDescent="0.25">
      <c r="A288">
        <v>2016</v>
      </c>
      <c r="B288" s="14" t="s">
        <v>138</v>
      </c>
      <c r="C288" t="s">
        <v>139</v>
      </c>
      <c r="D288" s="14" t="s">
        <v>144</v>
      </c>
      <c r="E288">
        <v>1</v>
      </c>
      <c r="F288" t="s">
        <v>211</v>
      </c>
      <c r="G288" s="33" t="s">
        <v>233</v>
      </c>
      <c r="H288" t="s">
        <v>233</v>
      </c>
      <c r="I288" s="14" t="s">
        <v>233</v>
      </c>
      <c r="J288" s="14" t="s">
        <v>234</v>
      </c>
      <c r="K288" s="14" t="s">
        <v>233</v>
      </c>
      <c r="L288" s="14" t="s">
        <v>234</v>
      </c>
      <c r="M288" s="14">
        <v>42893</v>
      </c>
      <c r="N288" s="14" t="str">
        <f t="shared" si="14"/>
        <v>2017</v>
      </c>
    </row>
    <row r="289" spans="1:14" x14ac:dyDescent="0.25">
      <c r="A289">
        <v>2016</v>
      </c>
      <c r="B289" s="14" t="s">
        <v>138</v>
      </c>
      <c r="C289" t="s">
        <v>139</v>
      </c>
      <c r="D289" s="14" t="s">
        <v>140</v>
      </c>
      <c r="E289">
        <v>2</v>
      </c>
      <c r="F289" t="s">
        <v>215</v>
      </c>
      <c r="G289" s="33" t="s">
        <v>233</v>
      </c>
      <c r="H289" t="s">
        <v>233</v>
      </c>
      <c r="I289" s="14" t="s">
        <v>233</v>
      </c>
      <c r="J289" s="14" t="s">
        <v>233</v>
      </c>
      <c r="K289" s="14" t="s">
        <v>233</v>
      </c>
      <c r="L289" s="14" t="s">
        <v>234</v>
      </c>
      <c r="M289" s="14">
        <v>42874</v>
      </c>
      <c r="N289" s="14" t="str">
        <f t="shared" si="14"/>
        <v>2017</v>
      </c>
    </row>
    <row r="290" spans="1:14" x14ac:dyDescent="0.25">
      <c r="A290">
        <v>2016</v>
      </c>
      <c r="B290" s="14" t="s">
        <v>138</v>
      </c>
      <c r="C290" t="s">
        <v>139</v>
      </c>
      <c r="D290" s="14" t="s">
        <v>147</v>
      </c>
      <c r="E290">
        <v>2</v>
      </c>
      <c r="F290" t="s">
        <v>215</v>
      </c>
      <c r="G290" s="33" t="s">
        <v>233</v>
      </c>
      <c r="H290" t="s">
        <v>234</v>
      </c>
      <c r="I290" s="14" t="s">
        <v>233</v>
      </c>
      <c r="J290" s="14" t="s">
        <v>234</v>
      </c>
      <c r="K290" s="14" t="s">
        <v>233</v>
      </c>
      <c r="L290" s="14" t="s">
        <v>234</v>
      </c>
      <c r="M290" s="14">
        <v>42867</v>
      </c>
      <c r="N290" s="14" t="str">
        <f t="shared" si="14"/>
        <v>2017</v>
      </c>
    </row>
    <row r="291" spans="1:14" x14ac:dyDescent="0.25">
      <c r="A291">
        <v>2016</v>
      </c>
      <c r="B291" s="14" t="s">
        <v>138</v>
      </c>
      <c r="C291" t="s">
        <v>139</v>
      </c>
      <c r="D291" s="14" t="s">
        <v>143</v>
      </c>
      <c r="E291">
        <v>1</v>
      </c>
      <c r="F291" t="s">
        <v>215</v>
      </c>
      <c r="G291" s="33" t="s">
        <v>233</v>
      </c>
      <c r="H291" t="s">
        <v>233</v>
      </c>
      <c r="I291" s="14" t="s">
        <v>233</v>
      </c>
      <c r="J291" s="14" t="s">
        <v>234</v>
      </c>
      <c r="K291" s="14" t="s">
        <v>233</v>
      </c>
      <c r="L291" s="14" t="s">
        <v>234</v>
      </c>
      <c r="M291" s="14">
        <v>42828</v>
      </c>
      <c r="N291" s="14" t="str">
        <f t="shared" si="14"/>
        <v>2017</v>
      </c>
    </row>
    <row r="292" spans="1:14" x14ac:dyDescent="0.25">
      <c r="A292">
        <v>2016</v>
      </c>
      <c r="B292" s="14" t="s">
        <v>138</v>
      </c>
      <c r="C292" t="s">
        <v>139</v>
      </c>
      <c r="D292" s="14" t="s">
        <v>146</v>
      </c>
      <c r="E292">
        <v>2</v>
      </c>
      <c r="F292" t="s">
        <v>215</v>
      </c>
      <c r="G292" s="33" t="s">
        <v>233</v>
      </c>
      <c r="H292" t="s">
        <v>233</v>
      </c>
      <c r="I292" s="14" t="s">
        <v>233</v>
      </c>
      <c r="J292" s="14" t="s">
        <v>234</v>
      </c>
      <c r="K292" s="14" t="s">
        <v>233</v>
      </c>
      <c r="L292" s="14" t="s">
        <v>234</v>
      </c>
      <c r="M292" s="14">
        <v>42824</v>
      </c>
      <c r="N292" s="14" t="str">
        <f t="shared" si="14"/>
        <v>2017</v>
      </c>
    </row>
    <row r="293" spans="1:14" x14ac:dyDescent="0.25">
      <c r="A293">
        <v>2016</v>
      </c>
      <c r="B293" s="14" t="s">
        <v>138</v>
      </c>
      <c r="C293" t="s">
        <v>139</v>
      </c>
      <c r="D293" s="14" t="s">
        <v>143</v>
      </c>
      <c r="E293">
        <v>3</v>
      </c>
      <c r="F293" t="s">
        <v>215</v>
      </c>
      <c r="G293" s="33" t="s">
        <v>233</v>
      </c>
      <c r="H293" t="s">
        <v>233</v>
      </c>
      <c r="I293" s="14" t="s">
        <v>233</v>
      </c>
      <c r="J293" s="14" t="s">
        <v>234</v>
      </c>
      <c r="K293" s="14" t="s">
        <v>233</v>
      </c>
      <c r="L293" s="14" t="s">
        <v>234</v>
      </c>
      <c r="M293" s="14">
        <v>42821</v>
      </c>
      <c r="N293" s="14" t="str">
        <f t="shared" si="14"/>
        <v>2017</v>
      </c>
    </row>
    <row r="294" spans="1:14" x14ac:dyDescent="0.25">
      <c r="A294">
        <v>2016</v>
      </c>
      <c r="B294" s="14" t="s">
        <v>138</v>
      </c>
      <c r="C294" t="s">
        <v>139</v>
      </c>
      <c r="D294" s="14" t="s">
        <v>144</v>
      </c>
      <c r="E294">
        <v>4</v>
      </c>
      <c r="F294" t="s">
        <v>215</v>
      </c>
      <c r="G294" s="33" t="s">
        <v>233</v>
      </c>
      <c r="H294" t="s">
        <v>234</v>
      </c>
      <c r="I294" s="14" t="s">
        <v>234</v>
      </c>
      <c r="J294" s="14" t="s">
        <v>234</v>
      </c>
      <c r="K294" s="14" t="s">
        <v>234</v>
      </c>
      <c r="L294" s="14" t="s">
        <v>234</v>
      </c>
      <c r="M294" s="14">
        <v>42804</v>
      </c>
      <c r="N294" s="14" t="str">
        <f t="shared" si="14"/>
        <v>2017</v>
      </c>
    </row>
    <row r="295" spans="1:14" x14ac:dyDescent="0.25">
      <c r="A295">
        <v>2016</v>
      </c>
      <c r="B295" s="14" t="s">
        <v>138</v>
      </c>
      <c r="C295" t="s">
        <v>139</v>
      </c>
      <c r="D295" s="14" t="s">
        <v>141</v>
      </c>
      <c r="E295">
        <v>10</v>
      </c>
      <c r="F295" t="s">
        <v>215</v>
      </c>
      <c r="G295" s="33" t="s">
        <v>233</v>
      </c>
      <c r="H295" t="s">
        <v>233</v>
      </c>
      <c r="I295" s="14" t="s">
        <v>234</v>
      </c>
      <c r="J295" s="14" t="s">
        <v>234</v>
      </c>
      <c r="K295" s="14" t="s">
        <v>234</v>
      </c>
      <c r="L295" s="14" t="s">
        <v>234</v>
      </c>
      <c r="M295" s="14">
        <v>42797</v>
      </c>
      <c r="N295" s="14" t="str">
        <f t="shared" si="14"/>
        <v>2017</v>
      </c>
    </row>
    <row r="296" spans="1:14" x14ac:dyDescent="0.25">
      <c r="A296">
        <v>2016</v>
      </c>
      <c r="B296" s="14" t="s">
        <v>138</v>
      </c>
      <c r="C296" t="s">
        <v>139</v>
      </c>
      <c r="D296" s="14" t="s">
        <v>140</v>
      </c>
      <c r="E296">
        <v>1</v>
      </c>
      <c r="F296" t="s">
        <v>215</v>
      </c>
      <c r="G296" s="33" t="s">
        <v>233</v>
      </c>
      <c r="H296" t="s">
        <v>233</v>
      </c>
      <c r="I296" s="14" t="s">
        <v>233</v>
      </c>
      <c r="J296" s="14" t="s">
        <v>234</v>
      </c>
      <c r="K296" s="14" t="s">
        <v>233</v>
      </c>
      <c r="L296" s="14" t="s">
        <v>234</v>
      </c>
      <c r="M296" s="14">
        <v>42773</v>
      </c>
      <c r="N296" s="14" t="str">
        <f t="shared" si="14"/>
        <v>2017</v>
      </c>
    </row>
    <row r="297" spans="1:14" x14ac:dyDescent="0.25">
      <c r="A297">
        <v>2016</v>
      </c>
      <c r="B297" s="14" t="s">
        <v>138</v>
      </c>
      <c r="C297" t="s">
        <v>139</v>
      </c>
      <c r="D297" s="14" t="s">
        <v>143</v>
      </c>
      <c r="E297">
        <v>1</v>
      </c>
      <c r="F297" t="s">
        <v>215</v>
      </c>
      <c r="G297" s="33" t="s">
        <v>233</v>
      </c>
      <c r="H297" t="s">
        <v>233</v>
      </c>
      <c r="I297" s="14" t="s">
        <v>233</v>
      </c>
      <c r="J297" s="14" t="s">
        <v>233</v>
      </c>
      <c r="K297" s="14" t="s">
        <v>233</v>
      </c>
      <c r="L297" s="14" t="s">
        <v>234</v>
      </c>
      <c r="M297" s="14">
        <v>42769</v>
      </c>
      <c r="N297" s="14" t="str">
        <f t="shared" si="14"/>
        <v>2017</v>
      </c>
    </row>
    <row r="298" spans="1:14" x14ac:dyDescent="0.25">
      <c r="A298">
        <v>2016</v>
      </c>
      <c r="B298" s="14" t="s">
        <v>138</v>
      </c>
      <c r="C298" t="s">
        <v>139</v>
      </c>
      <c r="D298" s="14" t="s">
        <v>147</v>
      </c>
      <c r="E298">
        <v>1</v>
      </c>
      <c r="F298" t="s">
        <v>215</v>
      </c>
      <c r="G298" s="33" t="s">
        <v>233</v>
      </c>
      <c r="H298" t="s">
        <v>233</v>
      </c>
      <c r="I298" s="14" t="s">
        <v>234</v>
      </c>
      <c r="J298" s="14" t="s">
        <v>234</v>
      </c>
      <c r="K298" s="14" t="s">
        <v>233</v>
      </c>
      <c r="L298" s="14" t="s">
        <v>234</v>
      </c>
      <c r="M298" s="14">
        <v>42769</v>
      </c>
      <c r="N298" s="14" t="str">
        <f t="shared" si="14"/>
        <v>2017</v>
      </c>
    </row>
    <row r="299" spans="1:14" x14ac:dyDescent="0.25">
      <c r="A299">
        <v>2016</v>
      </c>
      <c r="B299" s="14" t="s">
        <v>138</v>
      </c>
      <c r="C299" t="s">
        <v>139</v>
      </c>
      <c r="D299" s="14" t="s">
        <v>140</v>
      </c>
      <c r="E299">
        <v>4</v>
      </c>
      <c r="F299" t="s">
        <v>215</v>
      </c>
      <c r="G299" s="33" t="s">
        <v>233</v>
      </c>
      <c r="H299" t="s">
        <v>233</v>
      </c>
      <c r="I299" s="14" t="s">
        <v>233</v>
      </c>
      <c r="J299" s="14" t="s">
        <v>234</v>
      </c>
      <c r="K299" s="14" t="s">
        <v>233</v>
      </c>
      <c r="L299" s="14" t="s">
        <v>234</v>
      </c>
      <c r="M299" s="14">
        <v>42762</v>
      </c>
      <c r="N299" s="14" t="str">
        <f t="shared" si="14"/>
        <v>2017</v>
      </c>
    </row>
    <row r="300" spans="1:14" x14ac:dyDescent="0.25">
      <c r="A300">
        <v>2016</v>
      </c>
      <c r="B300" s="14" t="s">
        <v>138</v>
      </c>
      <c r="C300" t="s">
        <v>139</v>
      </c>
      <c r="D300" s="14" t="s">
        <v>144</v>
      </c>
      <c r="E300">
        <v>2</v>
      </c>
      <c r="F300" t="s">
        <v>211</v>
      </c>
      <c r="G300" s="33" t="s">
        <v>233</v>
      </c>
      <c r="H300" t="s">
        <v>233</v>
      </c>
      <c r="I300" s="14" t="s">
        <v>233</v>
      </c>
      <c r="J300" s="14" t="s">
        <v>234</v>
      </c>
      <c r="K300" s="14" t="s">
        <v>234</v>
      </c>
      <c r="L300" s="14" t="s">
        <v>234</v>
      </c>
      <c r="M300" s="14">
        <v>42762</v>
      </c>
      <c r="N300" s="14" t="str">
        <f t="shared" si="14"/>
        <v>2017</v>
      </c>
    </row>
    <row r="301" spans="1:14" x14ac:dyDescent="0.25">
      <c r="A301">
        <v>2016</v>
      </c>
      <c r="B301" s="14" t="s">
        <v>138</v>
      </c>
      <c r="C301" t="s">
        <v>139</v>
      </c>
      <c r="D301" s="14" t="s">
        <v>146</v>
      </c>
      <c r="E301">
        <v>0</v>
      </c>
      <c r="F301" t="s">
        <v>211</v>
      </c>
      <c r="G301" s="33" t="s">
        <v>233</v>
      </c>
      <c r="H301" t="s">
        <v>233</v>
      </c>
      <c r="I301" s="14" t="s">
        <v>233</v>
      </c>
      <c r="J301" s="14" t="s">
        <v>234</v>
      </c>
      <c r="K301" s="14" t="s">
        <v>233</v>
      </c>
      <c r="L301" s="14" t="s">
        <v>234</v>
      </c>
      <c r="M301" s="14">
        <v>42753</v>
      </c>
      <c r="N301" s="14" t="str">
        <f t="shared" si="14"/>
        <v>2017</v>
      </c>
    </row>
    <row r="302" spans="1:14" x14ac:dyDescent="0.25">
      <c r="A302">
        <v>2016</v>
      </c>
      <c r="B302" s="14" t="s">
        <v>138</v>
      </c>
      <c r="C302" t="s">
        <v>139</v>
      </c>
      <c r="D302" s="14" t="s">
        <v>147</v>
      </c>
      <c r="E302">
        <v>1</v>
      </c>
      <c r="F302" t="s">
        <v>215</v>
      </c>
      <c r="G302" s="33" t="s">
        <v>233</v>
      </c>
      <c r="H302" t="s">
        <v>233</v>
      </c>
      <c r="I302" s="14" t="s">
        <v>234</v>
      </c>
      <c r="J302" s="14" t="s">
        <v>234</v>
      </c>
      <c r="K302" s="14" t="s">
        <v>233</v>
      </c>
      <c r="L302" s="14" t="s">
        <v>234</v>
      </c>
      <c r="M302" s="14">
        <v>42719</v>
      </c>
      <c r="N302" s="14" t="str">
        <f t="shared" si="14"/>
        <v>2016</v>
      </c>
    </row>
    <row r="303" spans="1:14" x14ac:dyDescent="0.25">
      <c r="A303">
        <v>2016</v>
      </c>
      <c r="B303" s="14" t="s">
        <v>138</v>
      </c>
      <c r="C303" t="s">
        <v>139</v>
      </c>
      <c r="D303" s="14" t="s">
        <v>140</v>
      </c>
      <c r="E303">
        <v>5</v>
      </c>
      <c r="F303" t="s">
        <v>211</v>
      </c>
      <c r="G303" s="33" t="s">
        <v>233</v>
      </c>
      <c r="H303" t="s">
        <v>233</v>
      </c>
      <c r="I303" s="14" t="s">
        <v>233</v>
      </c>
      <c r="J303" s="14" t="s">
        <v>234</v>
      </c>
      <c r="K303" s="14" t="s">
        <v>234</v>
      </c>
      <c r="L303" s="14" t="s">
        <v>234</v>
      </c>
      <c r="M303" s="14">
        <v>42713</v>
      </c>
      <c r="N303" s="14" t="str">
        <f t="shared" si="14"/>
        <v>2016</v>
      </c>
    </row>
    <row r="304" spans="1:14" x14ac:dyDescent="0.25">
      <c r="A304">
        <v>2016</v>
      </c>
      <c r="B304" s="14" t="s">
        <v>138</v>
      </c>
      <c r="C304" t="s">
        <v>139</v>
      </c>
      <c r="D304" s="14" t="s">
        <v>140</v>
      </c>
      <c r="E304">
        <v>64</v>
      </c>
      <c r="F304" t="s">
        <v>211</v>
      </c>
      <c r="G304" s="33" t="s">
        <v>233</v>
      </c>
      <c r="H304" t="s">
        <v>234</v>
      </c>
      <c r="I304" s="14" t="s">
        <v>234</v>
      </c>
      <c r="J304" s="14" t="s">
        <v>234</v>
      </c>
      <c r="K304" s="14" t="s">
        <v>233</v>
      </c>
      <c r="L304" s="14" t="s">
        <v>234</v>
      </c>
      <c r="M304" s="14">
        <v>42661</v>
      </c>
      <c r="N304" s="14" t="str">
        <f t="shared" si="14"/>
        <v>2016</v>
      </c>
    </row>
    <row r="305" spans="1:14" x14ac:dyDescent="0.25">
      <c r="A305">
        <v>2015</v>
      </c>
      <c r="B305" s="14" t="s">
        <v>138</v>
      </c>
      <c r="C305" t="s">
        <v>139</v>
      </c>
      <c r="D305" s="14" t="s">
        <v>146</v>
      </c>
      <c r="E305">
        <v>0</v>
      </c>
      <c r="F305" t="s">
        <v>211</v>
      </c>
      <c r="G305" s="33" t="s">
        <v>233</v>
      </c>
      <c r="H305" t="s">
        <v>233</v>
      </c>
      <c r="I305" s="14" t="s">
        <v>234</v>
      </c>
      <c r="J305" s="14" t="s">
        <v>234</v>
      </c>
      <c r="K305" s="14" t="s">
        <v>234</v>
      </c>
      <c r="L305" s="14" t="s">
        <v>234</v>
      </c>
      <c r="M305" s="14">
        <v>42565</v>
      </c>
      <c r="N305" s="14" t="str">
        <f t="shared" si="14"/>
        <v>2016</v>
      </c>
    </row>
    <row r="306" spans="1:14" x14ac:dyDescent="0.25">
      <c r="A306">
        <v>2015</v>
      </c>
      <c r="B306" s="14" t="s">
        <v>138</v>
      </c>
      <c r="C306" t="s">
        <v>139</v>
      </c>
      <c r="D306" s="14" t="s">
        <v>140</v>
      </c>
      <c r="E306">
        <v>84</v>
      </c>
      <c r="F306" t="s">
        <v>211</v>
      </c>
      <c r="G306" s="33" t="s">
        <v>233</v>
      </c>
      <c r="H306" t="s">
        <v>233</v>
      </c>
      <c r="I306" s="14" t="s">
        <v>234</v>
      </c>
      <c r="J306" s="14" t="s">
        <v>234</v>
      </c>
      <c r="K306" s="14" t="s">
        <v>233</v>
      </c>
      <c r="L306" s="14" t="s">
        <v>234</v>
      </c>
      <c r="M306" s="14">
        <v>42542</v>
      </c>
      <c r="N306" s="14" t="str">
        <f t="shared" si="14"/>
        <v>2016</v>
      </c>
    </row>
    <row r="307" spans="1:14" x14ac:dyDescent="0.25">
      <c r="A307">
        <v>2015</v>
      </c>
      <c r="B307" s="14" t="s">
        <v>138</v>
      </c>
      <c r="C307" t="s">
        <v>139</v>
      </c>
      <c r="D307" s="14" t="s">
        <v>140</v>
      </c>
      <c r="E307">
        <v>4</v>
      </c>
      <c r="F307" t="s">
        <v>211</v>
      </c>
      <c r="G307" s="33" t="s">
        <v>233</v>
      </c>
      <c r="H307" t="s">
        <v>233</v>
      </c>
      <c r="I307" s="14" t="s">
        <v>233</v>
      </c>
      <c r="J307" s="14" t="s">
        <v>234</v>
      </c>
      <c r="K307" s="14" t="s">
        <v>234</v>
      </c>
      <c r="L307" s="14" t="s">
        <v>234</v>
      </c>
      <c r="M307" s="14">
        <v>42524</v>
      </c>
      <c r="N307" s="14" t="str">
        <f t="shared" si="14"/>
        <v>2016</v>
      </c>
    </row>
    <row r="308" spans="1:14" x14ac:dyDescent="0.25">
      <c r="A308">
        <v>2015</v>
      </c>
      <c r="B308" s="14" t="s">
        <v>138</v>
      </c>
      <c r="C308" t="s">
        <v>139</v>
      </c>
      <c r="D308" s="14" t="s">
        <v>140</v>
      </c>
      <c r="E308">
        <v>2</v>
      </c>
      <c r="F308" t="s">
        <v>211</v>
      </c>
      <c r="G308" s="33" t="s">
        <v>233</v>
      </c>
      <c r="H308" t="s">
        <v>233</v>
      </c>
      <c r="I308" s="14" t="s">
        <v>234</v>
      </c>
      <c r="J308" s="14" t="s">
        <v>234</v>
      </c>
      <c r="K308" s="14" t="s">
        <v>233</v>
      </c>
      <c r="L308" s="14" t="s">
        <v>234</v>
      </c>
      <c r="M308" s="14">
        <v>42357</v>
      </c>
      <c r="N308" s="14" t="str">
        <f t="shared" si="14"/>
        <v>2015</v>
      </c>
    </row>
    <row r="309" spans="1:14" x14ac:dyDescent="0.25">
      <c r="A309">
        <v>2017</v>
      </c>
      <c r="B309" s="14" t="s">
        <v>138</v>
      </c>
      <c r="C309" t="s">
        <v>148</v>
      </c>
      <c r="D309" s="14" t="s">
        <v>149</v>
      </c>
      <c r="E309">
        <v>2</v>
      </c>
      <c r="F309" t="s">
        <v>215</v>
      </c>
      <c r="G309" s="33" t="s">
        <v>233</v>
      </c>
      <c r="H309" t="s">
        <v>233</v>
      </c>
      <c r="I309" s="14" t="s">
        <v>233</v>
      </c>
      <c r="J309" s="14" t="s">
        <v>233</v>
      </c>
      <c r="K309" s="14" t="s">
        <v>233</v>
      </c>
      <c r="L309" s="14" t="s">
        <v>233</v>
      </c>
      <c r="M309" s="14">
        <v>43228</v>
      </c>
      <c r="N309" s="14" t="str">
        <f t="shared" si="14"/>
        <v>2018</v>
      </c>
    </row>
    <row r="310" spans="1:14" x14ac:dyDescent="0.25">
      <c r="A310">
        <v>2017</v>
      </c>
      <c r="B310" s="14" t="s">
        <v>138</v>
      </c>
      <c r="C310" t="s">
        <v>148</v>
      </c>
      <c r="D310" s="14" t="s">
        <v>149</v>
      </c>
      <c r="E310">
        <v>7</v>
      </c>
      <c r="F310" t="s">
        <v>211</v>
      </c>
      <c r="G310" s="33" t="s">
        <v>233</v>
      </c>
      <c r="H310" t="s">
        <v>233</v>
      </c>
      <c r="I310" s="14" t="s">
        <v>233</v>
      </c>
      <c r="J310" s="14" t="s">
        <v>234</v>
      </c>
      <c r="K310" s="14" t="s">
        <v>234</v>
      </c>
      <c r="L310" s="14" t="s">
        <v>234</v>
      </c>
      <c r="M310" s="14">
        <v>43154</v>
      </c>
      <c r="N310" s="14" t="str">
        <f t="shared" si="14"/>
        <v>2018</v>
      </c>
    </row>
    <row r="311" spans="1:14" x14ac:dyDescent="0.25">
      <c r="A311">
        <v>2017</v>
      </c>
      <c r="B311" s="14" t="s">
        <v>138</v>
      </c>
      <c r="C311" t="s">
        <v>148</v>
      </c>
      <c r="D311" s="14" t="s">
        <v>149</v>
      </c>
      <c r="E311">
        <v>7</v>
      </c>
      <c r="F311" t="s">
        <v>211</v>
      </c>
      <c r="G311" s="33" t="s">
        <v>233</v>
      </c>
      <c r="H311" t="s">
        <v>233</v>
      </c>
      <c r="I311" s="14" t="s">
        <v>233</v>
      </c>
      <c r="J311" s="14" t="s">
        <v>234</v>
      </c>
      <c r="K311" s="14" t="s">
        <v>234</v>
      </c>
      <c r="L311" s="14" t="s">
        <v>234</v>
      </c>
      <c r="M311" s="14">
        <v>43123</v>
      </c>
      <c r="N311" s="14" t="str">
        <f t="shared" si="14"/>
        <v>2018</v>
      </c>
    </row>
    <row r="312" spans="1:14" x14ac:dyDescent="0.25">
      <c r="A312">
        <v>2017</v>
      </c>
      <c r="B312" s="14" t="s">
        <v>138</v>
      </c>
      <c r="C312" t="s">
        <v>148</v>
      </c>
      <c r="D312" s="14" t="s">
        <v>149</v>
      </c>
      <c r="E312">
        <v>1</v>
      </c>
      <c r="F312" t="s">
        <v>211</v>
      </c>
      <c r="G312" s="33" t="s">
        <v>234</v>
      </c>
      <c r="H312" t="s">
        <v>233</v>
      </c>
      <c r="I312" s="14" t="s">
        <v>233</v>
      </c>
      <c r="J312" s="14" t="s">
        <v>234</v>
      </c>
      <c r="K312" s="14" t="s">
        <v>234</v>
      </c>
      <c r="L312" s="14" t="s">
        <v>234</v>
      </c>
      <c r="M312" s="14">
        <v>43049</v>
      </c>
      <c r="N312" s="14" t="str">
        <f t="shared" si="14"/>
        <v>2017</v>
      </c>
    </row>
    <row r="313" spans="1:14" x14ac:dyDescent="0.25">
      <c r="A313">
        <v>2016</v>
      </c>
      <c r="B313" s="14" t="s">
        <v>138</v>
      </c>
      <c r="C313" t="s">
        <v>148</v>
      </c>
      <c r="D313" s="14" t="s">
        <v>150</v>
      </c>
      <c r="E313">
        <v>2</v>
      </c>
      <c r="F313" t="s">
        <v>211</v>
      </c>
      <c r="G313" s="33" t="s">
        <v>233</v>
      </c>
      <c r="H313" t="s">
        <v>234</v>
      </c>
      <c r="I313" s="14" t="s">
        <v>234</v>
      </c>
      <c r="J313" s="14" t="s">
        <v>234</v>
      </c>
      <c r="K313" s="14" t="s">
        <v>233</v>
      </c>
      <c r="L313" s="14" t="s">
        <v>234</v>
      </c>
      <c r="M313" s="14">
        <v>42937</v>
      </c>
      <c r="N313" s="14" t="str">
        <f t="shared" si="14"/>
        <v>2017</v>
      </c>
    </row>
    <row r="314" spans="1:14" x14ac:dyDescent="0.25">
      <c r="A314">
        <v>2016</v>
      </c>
      <c r="B314" s="14" t="s">
        <v>138</v>
      </c>
      <c r="C314" t="s">
        <v>148</v>
      </c>
      <c r="D314" s="14" t="s">
        <v>151</v>
      </c>
      <c r="E314">
        <v>6</v>
      </c>
      <c r="F314" t="s">
        <v>215</v>
      </c>
      <c r="G314" s="33" t="s">
        <v>233</v>
      </c>
      <c r="H314" t="s">
        <v>233</v>
      </c>
      <c r="I314" s="14" t="s">
        <v>234</v>
      </c>
      <c r="J314" s="14" t="s">
        <v>234</v>
      </c>
      <c r="K314" s="14" t="s">
        <v>233</v>
      </c>
      <c r="L314" s="14" t="s">
        <v>234</v>
      </c>
      <c r="M314" s="14">
        <v>42930</v>
      </c>
      <c r="N314" s="14" t="str">
        <f t="shared" si="14"/>
        <v>2017</v>
      </c>
    </row>
    <row r="315" spans="1:14" x14ac:dyDescent="0.25">
      <c r="A315">
        <v>2016</v>
      </c>
      <c r="B315" s="14" t="s">
        <v>138</v>
      </c>
      <c r="C315" t="s">
        <v>148</v>
      </c>
      <c r="D315" s="14" t="s">
        <v>152</v>
      </c>
      <c r="E315">
        <v>3</v>
      </c>
      <c r="F315" t="s">
        <v>211</v>
      </c>
      <c r="G315" s="33" t="s">
        <v>233</v>
      </c>
      <c r="H315" t="s">
        <v>233</v>
      </c>
      <c r="I315" s="14" t="s">
        <v>234</v>
      </c>
      <c r="J315" s="14" t="s">
        <v>234</v>
      </c>
      <c r="K315" s="14" t="s">
        <v>234</v>
      </c>
      <c r="L315" s="14" t="s">
        <v>234</v>
      </c>
      <c r="M315" s="14">
        <v>42863</v>
      </c>
      <c r="N315" s="14" t="str">
        <f t="shared" si="14"/>
        <v>2017</v>
      </c>
    </row>
    <row r="316" spans="1:14" x14ac:dyDescent="0.25">
      <c r="A316">
        <v>2016</v>
      </c>
      <c r="B316" s="14" t="s">
        <v>138</v>
      </c>
      <c r="C316" t="s">
        <v>148</v>
      </c>
      <c r="D316" s="14" t="s">
        <v>152</v>
      </c>
      <c r="E316">
        <v>4</v>
      </c>
      <c r="F316" t="s">
        <v>211</v>
      </c>
      <c r="G316" s="33" t="s">
        <v>233</v>
      </c>
      <c r="H316" t="s">
        <v>233</v>
      </c>
      <c r="I316" s="14" t="s">
        <v>233</v>
      </c>
      <c r="J316" s="14" t="s">
        <v>234</v>
      </c>
      <c r="K316" s="14" t="s">
        <v>233</v>
      </c>
      <c r="L316" s="14" t="s">
        <v>233</v>
      </c>
      <c r="M316" s="14">
        <v>42851</v>
      </c>
      <c r="N316" s="14" t="str">
        <f t="shared" si="14"/>
        <v>2017</v>
      </c>
    </row>
    <row r="317" spans="1:14" x14ac:dyDescent="0.25">
      <c r="A317">
        <v>2016</v>
      </c>
      <c r="B317" s="14" t="s">
        <v>138</v>
      </c>
      <c r="C317" t="s">
        <v>148</v>
      </c>
      <c r="D317" s="14" t="s">
        <v>151</v>
      </c>
      <c r="E317">
        <v>6</v>
      </c>
      <c r="F317" t="s">
        <v>211</v>
      </c>
      <c r="G317" s="33" t="s">
        <v>233</v>
      </c>
      <c r="H317" t="s">
        <v>234</v>
      </c>
      <c r="I317" s="14" t="s">
        <v>234</v>
      </c>
      <c r="J317" s="14" t="s">
        <v>234</v>
      </c>
      <c r="K317" s="14" t="s">
        <v>234</v>
      </c>
      <c r="L317" s="14" t="s">
        <v>234</v>
      </c>
      <c r="M317" s="14">
        <v>42783</v>
      </c>
      <c r="N317" s="14" t="str">
        <f t="shared" si="14"/>
        <v>2017</v>
      </c>
    </row>
    <row r="318" spans="1:14" x14ac:dyDescent="0.25">
      <c r="A318">
        <v>2015</v>
      </c>
      <c r="B318" s="14" t="s">
        <v>138</v>
      </c>
      <c r="C318" t="s">
        <v>148</v>
      </c>
      <c r="D318" s="14" t="s">
        <v>153</v>
      </c>
      <c r="E318">
        <v>2</v>
      </c>
      <c r="F318" t="s">
        <v>211</v>
      </c>
      <c r="G318" s="33" t="s">
        <v>233</v>
      </c>
      <c r="H318" t="s">
        <v>233</v>
      </c>
      <c r="I318" s="14" t="s">
        <v>234</v>
      </c>
      <c r="J318" s="14" t="s">
        <v>234</v>
      </c>
      <c r="K318" s="14" t="s">
        <v>233</v>
      </c>
      <c r="L318" s="14" t="s">
        <v>234</v>
      </c>
      <c r="M318" s="14">
        <v>42542</v>
      </c>
      <c r="N318" s="14" t="str">
        <f t="shared" si="14"/>
        <v>2016</v>
      </c>
    </row>
    <row r="319" spans="1:14" x14ac:dyDescent="0.25">
      <c r="A319">
        <v>2017</v>
      </c>
      <c r="B319" s="14" t="s">
        <v>138</v>
      </c>
      <c r="C319" t="s">
        <v>154</v>
      </c>
      <c r="D319" s="14" t="s">
        <v>155</v>
      </c>
      <c r="E319">
        <v>0</v>
      </c>
      <c r="F319" t="s">
        <v>215</v>
      </c>
      <c r="G319" s="33" t="s">
        <v>233</v>
      </c>
      <c r="H319" t="s">
        <v>233</v>
      </c>
      <c r="I319" s="14" t="s">
        <v>233</v>
      </c>
      <c r="J319" s="14" t="s">
        <v>233</v>
      </c>
      <c r="K319" s="14" t="s">
        <v>233</v>
      </c>
      <c r="L319" s="14" t="s">
        <v>233</v>
      </c>
      <c r="M319" s="14">
        <v>43245</v>
      </c>
      <c r="N319" s="14" t="str">
        <f t="shared" si="14"/>
        <v>2018</v>
      </c>
    </row>
    <row r="320" spans="1:14" x14ac:dyDescent="0.25">
      <c r="A320">
        <v>2017</v>
      </c>
      <c r="B320" s="14" t="s">
        <v>138</v>
      </c>
      <c r="C320" t="s">
        <v>154</v>
      </c>
      <c r="D320" s="14" t="s">
        <v>156</v>
      </c>
      <c r="E320">
        <v>1</v>
      </c>
      <c r="F320" t="s">
        <v>211</v>
      </c>
      <c r="G320" s="33" t="s">
        <v>233</v>
      </c>
      <c r="H320" t="s">
        <v>233</v>
      </c>
      <c r="I320" s="14" t="s">
        <v>233</v>
      </c>
      <c r="J320" s="14" t="s">
        <v>234</v>
      </c>
      <c r="K320" s="14" t="s">
        <v>234</v>
      </c>
      <c r="L320" s="14" t="s">
        <v>234</v>
      </c>
      <c r="M320" s="14">
        <v>43063</v>
      </c>
      <c r="N320" s="14" t="str">
        <f t="shared" si="14"/>
        <v>2017</v>
      </c>
    </row>
    <row r="321" spans="1:14" x14ac:dyDescent="0.25">
      <c r="A321">
        <v>2017</v>
      </c>
      <c r="B321" s="14" t="s">
        <v>138</v>
      </c>
      <c r="C321" t="s">
        <v>154</v>
      </c>
      <c r="D321" s="14" t="s">
        <v>157</v>
      </c>
      <c r="E321">
        <v>7</v>
      </c>
      <c r="F321" t="s">
        <v>215</v>
      </c>
      <c r="G321" s="33" t="s">
        <v>233</v>
      </c>
      <c r="H321" t="s">
        <v>233</v>
      </c>
      <c r="I321" s="14" t="s">
        <v>234</v>
      </c>
      <c r="J321" s="14" t="s">
        <v>234</v>
      </c>
      <c r="K321" s="14" t="s">
        <v>234</v>
      </c>
      <c r="L321" s="14" t="s">
        <v>234</v>
      </c>
      <c r="M321" s="14">
        <v>43063</v>
      </c>
      <c r="N321" s="14" t="str">
        <f t="shared" si="14"/>
        <v>2017</v>
      </c>
    </row>
    <row r="322" spans="1:14" x14ac:dyDescent="0.25">
      <c r="A322">
        <v>2017</v>
      </c>
      <c r="B322" s="14" t="s">
        <v>138</v>
      </c>
      <c r="C322" t="s">
        <v>154</v>
      </c>
      <c r="D322" s="14" t="s">
        <v>158</v>
      </c>
      <c r="E322">
        <v>35</v>
      </c>
      <c r="F322" t="s">
        <v>211</v>
      </c>
      <c r="G322" s="33" t="s">
        <v>233</v>
      </c>
      <c r="H322" t="s">
        <v>233</v>
      </c>
      <c r="I322" s="14" t="s">
        <v>233</v>
      </c>
      <c r="J322" s="14" t="s">
        <v>234</v>
      </c>
      <c r="K322" s="14" t="s">
        <v>234</v>
      </c>
      <c r="L322" s="14" t="s">
        <v>234</v>
      </c>
      <c r="M322" s="14">
        <v>43063</v>
      </c>
      <c r="N322" s="14" t="str">
        <f t="shared" si="14"/>
        <v>2017</v>
      </c>
    </row>
    <row r="323" spans="1:14" x14ac:dyDescent="0.25">
      <c r="A323">
        <v>2017</v>
      </c>
      <c r="B323" s="14" t="s">
        <v>138</v>
      </c>
      <c r="C323" t="s">
        <v>154</v>
      </c>
      <c r="D323" t="s">
        <v>156</v>
      </c>
      <c r="E323">
        <v>1</v>
      </c>
      <c r="F323" t="s">
        <v>211</v>
      </c>
      <c r="G323" s="33" t="s">
        <v>233</v>
      </c>
      <c r="H323" t="s">
        <v>233</v>
      </c>
      <c r="I323" s="14" t="s">
        <v>233</v>
      </c>
      <c r="J323" s="14" t="s">
        <v>234</v>
      </c>
      <c r="K323" s="14" t="s">
        <v>234</v>
      </c>
      <c r="L323" s="14" t="s">
        <v>234</v>
      </c>
      <c r="M323" s="14">
        <v>43052</v>
      </c>
      <c r="N323" s="14" t="str">
        <f t="shared" si="14"/>
        <v>2017</v>
      </c>
    </row>
    <row r="324" spans="1:14" x14ac:dyDescent="0.25">
      <c r="A324">
        <v>2017</v>
      </c>
      <c r="B324" s="14" t="s">
        <v>138</v>
      </c>
      <c r="C324" t="s">
        <v>154</v>
      </c>
      <c r="D324" s="14" t="s">
        <v>159</v>
      </c>
      <c r="E324">
        <v>0</v>
      </c>
      <c r="F324" t="s">
        <v>211</v>
      </c>
      <c r="G324" s="33" t="s">
        <v>233</v>
      </c>
      <c r="H324" t="s">
        <v>233</v>
      </c>
      <c r="I324" s="14" t="s">
        <v>233</v>
      </c>
      <c r="J324" s="14" t="s">
        <v>234</v>
      </c>
      <c r="K324" s="14" t="s">
        <v>233</v>
      </c>
      <c r="L324" s="14" t="s">
        <v>233</v>
      </c>
      <c r="M324" s="14">
        <v>43014</v>
      </c>
      <c r="N324" s="14" t="str">
        <f t="shared" si="14"/>
        <v>2017</v>
      </c>
    </row>
    <row r="325" spans="1:14" x14ac:dyDescent="0.25">
      <c r="A325">
        <v>2016</v>
      </c>
      <c r="B325" s="14" t="s">
        <v>138</v>
      </c>
      <c r="C325" t="s">
        <v>154</v>
      </c>
      <c r="D325" s="14" t="s">
        <v>156</v>
      </c>
      <c r="E325">
        <v>0</v>
      </c>
      <c r="F325" t="s">
        <v>215</v>
      </c>
      <c r="G325" s="33" t="s">
        <v>233</v>
      </c>
      <c r="H325" t="s">
        <v>233</v>
      </c>
      <c r="I325" s="14" t="s">
        <v>233</v>
      </c>
      <c r="J325" s="14" t="s">
        <v>234</v>
      </c>
      <c r="K325" s="14" t="s">
        <v>233</v>
      </c>
      <c r="L325" s="14" t="s">
        <v>234</v>
      </c>
      <c r="M325" s="14">
        <v>42996</v>
      </c>
      <c r="N325" s="14" t="str">
        <f t="shared" ref="N325:N388" si="15">TEXT(M325,"aaaa")</f>
        <v>2017</v>
      </c>
    </row>
    <row r="326" spans="1:14" x14ac:dyDescent="0.25">
      <c r="A326">
        <v>2016</v>
      </c>
      <c r="B326" s="14" t="s">
        <v>138</v>
      </c>
      <c r="C326" t="s">
        <v>154</v>
      </c>
      <c r="D326" s="14" t="s">
        <v>157</v>
      </c>
      <c r="E326">
        <v>1</v>
      </c>
      <c r="F326" t="s">
        <v>211</v>
      </c>
      <c r="G326" s="33" t="s">
        <v>233</v>
      </c>
      <c r="H326" t="s">
        <v>233</v>
      </c>
      <c r="I326" s="14" t="s">
        <v>233</v>
      </c>
      <c r="J326" s="14" t="s">
        <v>234</v>
      </c>
      <c r="K326" s="14" t="s">
        <v>233</v>
      </c>
      <c r="L326" s="14" t="s">
        <v>234</v>
      </c>
      <c r="M326" s="14">
        <v>42944</v>
      </c>
      <c r="N326" s="14" t="str">
        <f t="shared" si="15"/>
        <v>2017</v>
      </c>
    </row>
    <row r="327" spans="1:14" x14ac:dyDescent="0.25">
      <c r="A327">
        <v>2016</v>
      </c>
      <c r="B327" s="14" t="s">
        <v>138</v>
      </c>
      <c r="C327" t="s">
        <v>154</v>
      </c>
      <c r="D327" s="14" t="s">
        <v>160</v>
      </c>
      <c r="E327">
        <v>2</v>
      </c>
      <c r="F327" t="s">
        <v>215</v>
      </c>
      <c r="G327" s="33" t="s">
        <v>233</v>
      </c>
      <c r="H327" t="s">
        <v>233</v>
      </c>
      <c r="I327" s="14" t="s">
        <v>233</v>
      </c>
      <c r="J327" s="14" t="s">
        <v>234</v>
      </c>
      <c r="K327" s="14" t="s">
        <v>233</v>
      </c>
      <c r="L327" s="14" t="s">
        <v>234</v>
      </c>
      <c r="M327" s="14">
        <v>42930</v>
      </c>
      <c r="N327" s="14" t="str">
        <f t="shared" si="15"/>
        <v>2017</v>
      </c>
    </row>
    <row r="328" spans="1:14" x14ac:dyDescent="0.25">
      <c r="A328">
        <v>2016</v>
      </c>
      <c r="B328" s="14" t="s">
        <v>138</v>
      </c>
      <c r="C328" t="s">
        <v>154</v>
      </c>
      <c r="D328" s="14" t="s">
        <v>159</v>
      </c>
      <c r="E328">
        <v>6</v>
      </c>
      <c r="F328" t="s">
        <v>211</v>
      </c>
      <c r="G328" s="33" t="s">
        <v>233</v>
      </c>
      <c r="H328" t="s">
        <v>233</v>
      </c>
      <c r="I328" s="14" t="s">
        <v>233</v>
      </c>
      <c r="J328" s="14" t="s">
        <v>234</v>
      </c>
      <c r="K328" s="14" t="s">
        <v>233</v>
      </c>
      <c r="L328" s="14" t="s">
        <v>234</v>
      </c>
      <c r="M328" s="14">
        <v>42929</v>
      </c>
      <c r="N328" s="14" t="str">
        <f t="shared" si="15"/>
        <v>2017</v>
      </c>
    </row>
    <row r="329" spans="1:14" x14ac:dyDescent="0.25">
      <c r="A329">
        <v>2016</v>
      </c>
      <c r="B329" s="14" t="s">
        <v>138</v>
      </c>
      <c r="C329" t="s">
        <v>154</v>
      </c>
      <c r="D329" s="14" t="s">
        <v>159</v>
      </c>
      <c r="E329">
        <v>1</v>
      </c>
      <c r="F329" t="s">
        <v>211</v>
      </c>
      <c r="G329" s="33" t="s">
        <v>233</v>
      </c>
      <c r="H329" t="s">
        <v>233</v>
      </c>
      <c r="I329" s="14" t="s">
        <v>234</v>
      </c>
      <c r="J329" s="14" t="s">
        <v>234</v>
      </c>
      <c r="K329" s="14" t="s">
        <v>234</v>
      </c>
      <c r="L329" s="14" t="s">
        <v>234</v>
      </c>
      <c r="M329" s="14">
        <v>42909</v>
      </c>
      <c r="N329" s="14" t="str">
        <f t="shared" si="15"/>
        <v>2017</v>
      </c>
    </row>
    <row r="330" spans="1:14" x14ac:dyDescent="0.25">
      <c r="A330">
        <v>2016</v>
      </c>
      <c r="B330" s="14" t="s">
        <v>138</v>
      </c>
      <c r="C330" t="s">
        <v>154</v>
      </c>
      <c r="D330" s="14" t="s">
        <v>158</v>
      </c>
      <c r="E330">
        <v>11</v>
      </c>
      <c r="F330" t="s">
        <v>215</v>
      </c>
      <c r="G330" s="33" t="s">
        <v>233</v>
      </c>
      <c r="H330" t="s">
        <v>233</v>
      </c>
      <c r="I330" s="14" t="s">
        <v>233</v>
      </c>
      <c r="J330" s="14" t="s">
        <v>233</v>
      </c>
      <c r="K330" s="14" t="s">
        <v>233</v>
      </c>
      <c r="L330" s="14" t="s">
        <v>234</v>
      </c>
      <c r="M330" s="14">
        <v>42909</v>
      </c>
      <c r="N330" s="14" t="str">
        <f t="shared" si="15"/>
        <v>2017</v>
      </c>
    </row>
    <row r="331" spans="1:14" x14ac:dyDescent="0.25">
      <c r="A331">
        <v>2016</v>
      </c>
      <c r="B331" s="14" t="s">
        <v>138</v>
      </c>
      <c r="C331" t="s">
        <v>154</v>
      </c>
      <c r="D331" s="14" t="s">
        <v>161</v>
      </c>
      <c r="E331">
        <v>1</v>
      </c>
      <c r="F331" t="s">
        <v>215</v>
      </c>
      <c r="G331" s="33" t="s">
        <v>233</v>
      </c>
      <c r="H331" t="s">
        <v>233</v>
      </c>
      <c r="I331" s="14" t="s">
        <v>233</v>
      </c>
      <c r="J331" s="14" t="s">
        <v>234</v>
      </c>
      <c r="K331" s="14" t="s">
        <v>233</v>
      </c>
      <c r="L331" s="14" t="s">
        <v>234</v>
      </c>
      <c r="M331" s="14">
        <v>42908</v>
      </c>
      <c r="N331" s="14" t="str">
        <f t="shared" si="15"/>
        <v>2017</v>
      </c>
    </row>
    <row r="332" spans="1:14" x14ac:dyDescent="0.25">
      <c r="A332">
        <v>2016</v>
      </c>
      <c r="B332" s="14" t="s">
        <v>138</v>
      </c>
      <c r="C332" t="s">
        <v>154</v>
      </c>
      <c r="D332" s="14" t="s">
        <v>159</v>
      </c>
      <c r="E332">
        <v>9</v>
      </c>
      <c r="F332" t="s">
        <v>211</v>
      </c>
      <c r="G332" s="33" t="s">
        <v>233</v>
      </c>
      <c r="H332" t="s">
        <v>234</v>
      </c>
      <c r="I332" s="14" t="s">
        <v>233</v>
      </c>
      <c r="J332" s="14" t="s">
        <v>234</v>
      </c>
      <c r="K332" s="14" t="s">
        <v>234</v>
      </c>
      <c r="L332" s="14" t="s">
        <v>234</v>
      </c>
      <c r="M332" s="14">
        <v>42894</v>
      </c>
      <c r="N332" s="14" t="str">
        <f t="shared" si="15"/>
        <v>2017</v>
      </c>
    </row>
    <row r="333" spans="1:14" x14ac:dyDescent="0.25">
      <c r="A333">
        <v>2016</v>
      </c>
      <c r="B333" s="14" t="s">
        <v>138</v>
      </c>
      <c r="C333" t="s">
        <v>154</v>
      </c>
      <c r="D333" s="14" t="s">
        <v>161</v>
      </c>
      <c r="E333">
        <v>2</v>
      </c>
      <c r="F333" t="s">
        <v>211</v>
      </c>
      <c r="G333" s="33" t="s">
        <v>233</v>
      </c>
      <c r="H333" t="s">
        <v>233</v>
      </c>
      <c r="I333" s="14" t="s">
        <v>233</v>
      </c>
      <c r="J333" s="14" t="s">
        <v>234</v>
      </c>
      <c r="K333" s="14" t="s">
        <v>233</v>
      </c>
      <c r="L333" s="14" t="s">
        <v>234</v>
      </c>
      <c r="M333" s="14">
        <v>42846</v>
      </c>
      <c r="N333" s="14" t="str">
        <f t="shared" si="15"/>
        <v>2017</v>
      </c>
    </row>
    <row r="334" spans="1:14" x14ac:dyDescent="0.25">
      <c r="A334">
        <v>2016</v>
      </c>
      <c r="B334" s="14" t="s">
        <v>138</v>
      </c>
      <c r="C334" t="s">
        <v>154</v>
      </c>
      <c r="D334" s="14" t="s">
        <v>155</v>
      </c>
      <c r="E334">
        <v>9</v>
      </c>
      <c r="F334" t="s">
        <v>215</v>
      </c>
      <c r="G334" s="33" t="s">
        <v>233</v>
      </c>
      <c r="H334" t="s">
        <v>234</v>
      </c>
      <c r="I334" s="14" t="s">
        <v>233</v>
      </c>
      <c r="J334" s="14" t="s">
        <v>234</v>
      </c>
      <c r="K334" s="14" t="s">
        <v>234</v>
      </c>
      <c r="L334" s="14" t="s">
        <v>234</v>
      </c>
      <c r="M334" s="14">
        <v>42776</v>
      </c>
      <c r="N334" s="14" t="str">
        <f t="shared" si="15"/>
        <v>2017</v>
      </c>
    </row>
    <row r="335" spans="1:14" x14ac:dyDescent="0.25">
      <c r="A335">
        <v>2016</v>
      </c>
      <c r="B335" s="14" t="s">
        <v>138</v>
      </c>
      <c r="C335" t="s">
        <v>154</v>
      </c>
      <c r="D335" s="14" t="s">
        <v>159</v>
      </c>
      <c r="E335">
        <v>17</v>
      </c>
      <c r="F335" t="s">
        <v>211</v>
      </c>
      <c r="G335" s="33" t="s">
        <v>233</v>
      </c>
      <c r="H335" s="16" t="s">
        <v>234</v>
      </c>
      <c r="I335" s="14" t="s">
        <v>234</v>
      </c>
      <c r="J335" s="14" t="s">
        <v>234</v>
      </c>
      <c r="K335" s="14" t="s">
        <v>234</v>
      </c>
      <c r="L335" s="14" t="s">
        <v>234</v>
      </c>
      <c r="M335" s="14">
        <v>42723</v>
      </c>
      <c r="N335" s="14" t="str">
        <f t="shared" si="15"/>
        <v>2016</v>
      </c>
    </row>
    <row r="336" spans="1:14" x14ac:dyDescent="0.25">
      <c r="A336">
        <v>2015</v>
      </c>
      <c r="B336" s="14" t="s">
        <v>138</v>
      </c>
      <c r="C336" t="s">
        <v>154</v>
      </c>
      <c r="D336" s="14" t="s">
        <v>209</v>
      </c>
      <c r="E336">
        <v>1</v>
      </c>
      <c r="F336" t="s">
        <v>211</v>
      </c>
      <c r="G336" s="33" t="s">
        <v>233</v>
      </c>
      <c r="H336" s="16" t="s">
        <v>233</v>
      </c>
      <c r="I336" s="14" t="s">
        <v>234</v>
      </c>
      <c r="J336" s="14" t="s">
        <v>234</v>
      </c>
      <c r="K336" s="14" t="s">
        <v>233</v>
      </c>
      <c r="L336" s="14" t="s">
        <v>234</v>
      </c>
      <c r="M336" s="14">
        <v>42538</v>
      </c>
      <c r="N336" s="14" t="str">
        <f t="shared" si="15"/>
        <v>2016</v>
      </c>
    </row>
    <row r="337" spans="1:14" x14ac:dyDescent="0.25">
      <c r="A337">
        <v>2017</v>
      </c>
      <c r="B337" s="14" t="s">
        <v>138</v>
      </c>
      <c r="C337" t="s">
        <v>162</v>
      </c>
      <c r="D337" s="14" t="s">
        <v>163</v>
      </c>
      <c r="E337">
        <v>5</v>
      </c>
      <c r="F337" t="s">
        <v>211</v>
      </c>
      <c r="G337" s="33" t="s">
        <v>233</v>
      </c>
      <c r="H337" s="16" t="s">
        <v>233</v>
      </c>
      <c r="I337" s="14" t="s">
        <v>234</v>
      </c>
      <c r="J337" s="14" t="s">
        <v>233</v>
      </c>
      <c r="K337" s="14" t="s">
        <v>233</v>
      </c>
      <c r="L337" s="14" t="s">
        <v>234</v>
      </c>
      <c r="M337" s="14">
        <v>43234</v>
      </c>
      <c r="N337" s="14" t="str">
        <f t="shared" si="15"/>
        <v>2018</v>
      </c>
    </row>
    <row r="338" spans="1:14" x14ac:dyDescent="0.25">
      <c r="A338">
        <v>2017</v>
      </c>
      <c r="B338" s="14" t="s">
        <v>138</v>
      </c>
      <c r="C338" t="s">
        <v>162</v>
      </c>
      <c r="D338" s="14" t="s">
        <v>164</v>
      </c>
      <c r="E338">
        <v>3</v>
      </c>
      <c r="F338" t="s">
        <v>215</v>
      </c>
      <c r="G338" s="33" t="s">
        <v>233</v>
      </c>
      <c r="H338" s="16" t="s">
        <v>233</v>
      </c>
      <c r="I338" s="14" t="s">
        <v>233</v>
      </c>
      <c r="J338" s="14" t="s">
        <v>234</v>
      </c>
      <c r="K338" s="14" t="s">
        <v>234</v>
      </c>
      <c r="L338" s="14" t="s">
        <v>234</v>
      </c>
      <c r="M338" s="14">
        <v>43175</v>
      </c>
      <c r="N338" s="14" t="str">
        <f t="shared" si="15"/>
        <v>2018</v>
      </c>
    </row>
    <row r="339" spans="1:14" x14ac:dyDescent="0.25">
      <c r="A339">
        <v>2017</v>
      </c>
      <c r="B339" s="14" t="s">
        <v>138</v>
      </c>
      <c r="C339" t="s">
        <v>162</v>
      </c>
      <c r="D339" t="s">
        <v>165</v>
      </c>
      <c r="E339">
        <v>1</v>
      </c>
      <c r="F339" t="s">
        <v>211</v>
      </c>
      <c r="G339" s="33" t="s">
        <v>233</v>
      </c>
      <c r="H339" s="16" t="s">
        <v>233</v>
      </c>
      <c r="I339" s="14" t="s">
        <v>233</v>
      </c>
      <c r="J339" s="14" t="s">
        <v>234</v>
      </c>
      <c r="K339" s="14" t="s">
        <v>234</v>
      </c>
      <c r="L339" s="14" t="s">
        <v>234</v>
      </c>
      <c r="M339" s="14">
        <v>43122</v>
      </c>
      <c r="N339" s="14" t="str">
        <f t="shared" si="15"/>
        <v>2018</v>
      </c>
    </row>
    <row r="340" spans="1:14" x14ac:dyDescent="0.25">
      <c r="A340">
        <v>2017</v>
      </c>
      <c r="B340" s="14" t="s">
        <v>138</v>
      </c>
      <c r="C340" t="s">
        <v>162</v>
      </c>
      <c r="D340" s="14" t="s">
        <v>166</v>
      </c>
      <c r="E340">
        <v>1</v>
      </c>
      <c r="F340" t="s">
        <v>211</v>
      </c>
      <c r="G340" s="33" t="s">
        <v>233</v>
      </c>
      <c r="H340" s="16" t="s">
        <v>233</v>
      </c>
      <c r="I340" s="14" t="s">
        <v>233</v>
      </c>
      <c r="J340" s="14" t="s">
        <v>234</v>
      </c>
      <c r="K340" s="14" t="s">
        <v>234</v>
      </c>
      <c r="L340" s="14" t="s">
        <v>234</v>
      </c>
      <c r="M340" s="14">
        <v>43090</v>
      </c>
      <c r="N340" s="14" t="str">
        <f t="shared" si="15"/>
        <v>2017</v>
      </c>
    </row>
    <row r="341" spans="1:14" x14ac:dyDescent="0.25">
      <c r="A341">
        <v>2017</v>
      </c>
      <c r="B341" s="14" t="s">
        <v>138</v>
      </c>
      <c r="C341" t="s">
        <v>162</v>
      </c>
      <c r="D341" t="s">
        <v>210</v>
      </c>
      <c r="E341">
        <v>1</v>
      </c>
      <c r="F341" t="s">
        <v>211</v>
      </c>
      <c r="G341" s="33" t="s">
        <v>233</v>
      </c>
      <c r="H341" s="16" t="s">
        <v>233</v>
      </c>
      <c r="I341" s="14" t="s">
        <v>233</v>
      </c>
      <c r="J341" s="14" t="s">
        <v>234</v>
      </c>
      <c r="K341" s="14" t="s">
        <v>234</v>
      </c>
      <c r="L341" s="14" t="s">
        <v>234</v>
      </c>
      <c r="M341" s="14">
        <v>43080</v>
      </c>
      <c r="N341" s="14" t="str">
        <f t="shared" si="15"/>
        <v>2017</v>
      </c>
    </row>
    <row r="342" spans="1:14" x14ac:dyDescent="0.25">
      <c r="A342">
        <v>2017</v>
      </c>
      <c r="B342" s="14" t="s">
        <v>138</v>
      </c>
      <c r="C342" t="s">
        <v>162</v>
      </c>
      <c r="D342" t="s">
        <v>165</v>
      </c>
      <c r="E342">
        <v>2</v>
      </c>
      <c r="F342" t="s">
        <v>215</v>
      </c>
      <c r="G342" s="33" t="s">
        <v>233</v>
      </c>
      <c r="H342" s="16" t="s">
        <v>233</v>
      </c>
      <c r="I342" s="14" t="s">
        <v>233</v>
      </c>
      <c r="J342" s="14" t="s">
        <v>234</v>
      </c>
      <c r="K342" s="14" t="s">
        <v>234</v>
      </c>
      <c r="L342" s="14" t="s">
        <v>234</v>
      </c>
      <c r="M342" s="14">
        <v>43014</v>
      </c>
      <c r="N342" s="14" t="str">
        <f t="shared" si="15"/>
        <v>2017</v>
      </c>
    </row>
    <row r="343" spans="1:14" x14ac:dyDescent="0.25">
      <c r="A343">
        <v>2016</v>
      </c>
      <c r="B343" s="14" t="s">
        <v>138</v>
      </c>
      <c r="C343" t="s">
        <v>162</v>
      </c>
      <c r="D343" t="s">
        <v>165</v>
      </c>
      <c r="E343">
        <v>1</v>
      </c>
      <c r="F343" t="s">
        <v>211</v>
      </c>
      <c r="G343" s="33" t="s">
        <v>233</v>
      </c>
      <c r="H343" s="16" t="s">
        <v>233</v>
      </c>
      <c r="I343" s="14" t="s">
        <v>233</v>
      </c>
      <c r="J343" s="14" t="s">
        <v>233</v>
      </c>
      <c r="K343" s="14" t="s">
        <v>234</v>
      </c>
      <c r="L343" s="14" t="s">
        <v>234</v>
      </c>
      <c r="M343" s="14">
        <v>42916</v>
      </c>
      <c r="N343" s="14" t="str">
        <f t="shared" si="15"/>
        <v>2017</v>
      </c>
    </row>
    <row r="344" spans="1:14" x14ac:dyDescent="0.25">
      <c r="A344">
        <v>2016</v>
      </c>
      <c r="B344" s="14" t="s">
        <v>138</v>
      </c>
      <c r="C344" t="s">
        <v>162</v>
      </c>
      <c r="D344" t="s">
        <v>167</v>
      </c>
      <c r="E344">
        <v>5</v>
      </c>
      <c r="F344" t="s">
        <v>215</v>
      </c>
      <c r="G344" s="33" t="s">
        <v>233</v>
      </c>
      <c r="H344" s="16" t="s">
        <v>233</v>
      </c>
      <c r="I344" s="14" t="s">
        <v>233</v>
      </c>
      <c r="J344" s="14" t="s">
        <v>234</v>
      </c>
      <c r="K344" s="14" t="s">
        <v>233</v>
      </c>
      <c r="L344" s="14" t="s">
        <v>234</v>
      </c>
      <c r="M344" s="14">
        <v>42895</v>
      </c>
      <c r="N344" s="14" t="str">
        <f t="shared" si="15"/>
        <v>2017</v>
      </c>
    </row>
    <row r="345" spans="1:14" x14ac:dyDescent="0.25">
      <c r="A345">
        <v>2016</v>
      </c>
      <c r="B345" s="14" t="s">
        <v>138</v>
      </c>
      <c r="C345" t="s">
        <v>162</v>
      </c>
      <c r="D345" t="s">
        <v>167</v>
      </c>
      <c r="E345">
        <v>1</v>
      </c>
      <c r="F345" t="s">
        <v>211</v>
      </c>
      <c r="G345" s="33" t="s">
        <v>233</v>
      </c>
      <c r="H345" s="16" t="s">
        <v>233</v>
      </c>
      <c r="I345" s="14" t="s">
        <v>233</v>
      </c>
      <c r="J345" s="14" t="s">
        <v>234</v>
      </c>
      <c r="K345" s="14" t="s">
        <v>233</v>
      </c>
      <c r="L345" s="14" t="s">
        <v>234</v>
      </c>
      <c r="M345" s="14">
        <v>42849</v>
      </c>
      <c r="N345" s="14" t="str">
        <f t="shared" si="15"/>
        <v>2017</v>
      </c>
    </row>
    <row r="346" spans="1:14" x14ac:dyDescent="0.25">
      <c r="A346">
        <v>2016</v>
      </c>
      <c r="B346" s="14" t="s">
        <v>138</v>
      </c>
      <c r="C346" t="s">
        <v>162</v>
      </c>
      <c r="D346" t="s">
        <v>165</v>
      </c>
      <c r="E346">
        <v>5</v>
      </c>
      <c r="F346" t="s">
        <v>215</v>
      </c>
      <c r="G346" s="33" t="s">
        <v>233</v>
      </c>
      <c r="H346" s="16" t="s">
        <v>233</v>
      </c>
      <c r="I346" s="14" t="s">
        <v>234</v>
      </c>
      <c r="J346" s="14" t="s">
        <v>234</v>
      </c>
      <c r="K346" s="14" t="s">
        <v>233</v>
      </c>
      <c r="L346" s="14" t="s">
        <v>234</v>
      </c>
      <c r="M346" s="14">
        <v>42828</v>
      </c>
      <c r="N346" s="14" t="str">
        <f t="shared" si="15"/>
        <v>2017</v>
      </c>
    </row>
    <row r="347" spans="1:14" x14ac:dyDescent="0.25">
      <c r="A347">
        <v>2016</v>
      </c>
      <c r="B347" s="14" t="s">
        <v>138</v>
      </c>
      <c r="C347" t="s">
        <v>162</v>
      </c>
      <c r="D347" t="s">
        <v>165</v>
      </c>
      <c r="E347">
        <v>7</v>
      </c>
      <c r="F347" t="s">
        <v>215</v>
      </c>
      <c r="G347" s="33" t="s">
        <v>233</v>
      </c>
      <c r="H347" s="16" t="s">
        <v>233</v>
      </c>
      <c r="I347" s="14" t="s">
        <v>233</v>
      </c>
      <c r="J347" s="14" t="s">
        <v>234</v>
      </c>
      <c r="K347" s="14" t="s">
        <v>233</v>
      </c>
      <c r="L347" s="14" t="s">
        <v>234</v>
      </c>
      <c r="M347" s="14">
        <v>42720</v>
      </c>
      <c r="N347" s="14" t="str">
        <f t="shared" si="15"/>
        <v>2016</v>
      </c>
    </row>
    <row r="348" spans="1:14" x14ac:dyDescent="0.25">
      <c r="A348">
        <v>2016</v>
      </c>
      <c r="B348" s="14" t="s">
        <v>138</v>
      </c>
      <c r="C348" t="s">
        <v>162</v>
      </c>
      <c r="D348" t="s">
        <v>167</v>
      </c>
      <c r="E348">
        <v>2</v>
      </c>
      <c r="F348" t="s">
        <v>215</v>
      </c>
      <c r="G348" s="33" t="s">
        <v>233</v>
      </c>
      <c r="H348" s="16" t="s">
        <v>233</v>
      </c>
      <c r="I348" s="14" t="s">
        <v>233</v>
      </c>
      <c r="J348" s="14" t="s">
        <v>234</v>
      </c>
      <c r="K348" s="14" t="s">
        <v>233</v>
      </c>
      <c r="L348" s="14" t="s">
        <v>234</v>
      </c>
      <c r="M348" s="14">
        <v>42699</v>
      </c>
      <c r="N348" s="14" t="str">
        <f t="shared" si="15"/>
        <v>2016</v>
      </c>
    </row>
    <row r="349" spans="1:14" x14ac:dyDescent="0.25">
      <c r="A349">
        <v>2016</v>
      </c>
      <c r="B349" s="14" t="s">
        <v>138</v>
      </c>
      <c r="C349" t="s">
        <v>162</v>
      </c>
      <c r="D349" t="s">
        <v>166</v>
      </c>
      <c r="E349">
        <v>3</v>
      </c>
      <c r="F349" t="s">
        <v>215</v>
      </c>
      <c r="G349" s="33" t="s">
        <v>233</v>
      </c>
      <c r="H349" s="16" t="s">
        <v>233</v>
      </c>
      <c r="I349" s="14" t="s">
        <v>233</v>
      </c>
      <c r="J349" s="14" t="s">
        <v>234</v>
      </c>
      <c r="K349" s="14" t="s">
        <v>233</v>
      </c>
      <c r="L349" s="14" t="s">
        <v>234</v>
      </c>
      <c r="M349" s="14">
        <v>42642</v>
      </c>
      <c r="N349" s="14" t="str">
        <f t="shared" si="15"/>
        <v>2016</v>
      </c>
    </row>
    <row r="350" spans="1:14" x14ac:dyDescent="0.25">
      <c r="A350">
        <v>2015</v>
      </c>
      <c r="B350" s="14" t="s">
        <v>138</v>
      </c>
      <c r="C350" t="s">
        <v>162</v>
      </c>
      <c r="D350" t="s">
        <v>168</v>
      </c>
      <c r="E350">
        <v>1</v>
      </c>
      <c r="F350" t="s">
        <v>215</v>
      </c>
      <c r="G350" s="33" t="s">
        <v>234</v>
      </c>
      <c r="H350" s="16" t="s">
        <v>233</v>
      </c>
      <c r="I350" s="14" t="s">
        <v>233</v>
      </c>
      <c r="J350" s="14" t="s">
        <v>234</v>
      </c>
      <c r="K350" s="14" t="s">
        <v>234</v>
      </c>
      <c r="L350" s="14" t="s">
        <v>234</v>
      </c>
      <c r="M350" s="14">
        <v>42576</v>
      </c>
      <c r="N350" s="14" t="str">
        <f t="shared" si="15"/>
        <v>2016</v>
      </c>
    </row>
    <row r="351" spans="1:14" x14ac:dyDescent="0.25">
      <c r="A351">
        <v>2015</v>
      </c>
      <c r="B351" s="14" t="s">
        <v>138</v>
      </c>
      <c r="C351" t="s">
        <v>162</v>
      </c>
      <c r="D351" t="s">
        <v>168</v>
      </c>
      <c r="E351">
        <v>10</v>
      </c>
      <c r="F351" t="s">
        <v>215</v>
      </c>
      <c r="G351" s="33" t="s">
        <v>233</v>
      </c>
      <c r="H351" s="16" t="s">
        <v>233</v>
      </c>
      <c r="I351" s="14" t="s">
        <v>233</v>
      </c>
      <c r="J351" s="14" t="s">
        <v>234</v>
      </c>
      <c r="K351" s="14" t="s">
        <v>233</v>
      </c>
      <c r="L351" s="14" t="s">
        <v>234</v>
      </c>
      <c r="M351" s="14">
        <v>42571</v>
      </c>
      <c r="N351" s="14" t="str">
        <f t="shared" si="15"/>
        <v>2016</v>
      </c>
    </row>
    <row r="352" spans="1:14" x14ac:dyDescent="0.25">
      <c r="A352">
        <v>2015</v>
      </c>
      <c r="B352" s="14" t="s">
        <v>138</v>
      </c>
      <c r="C352" t="s">
        <v>162</v>
      </c>
      <c r="D352" t="s">
        <v>168</v>
      </c>
      <c r="E352">
        <v>1</v>
      </c>
      <c r="F352" t="s">
        <v>211</v>
      </c>
      <c r="G352" s="33" t="s">
        <v>233</v>
      </c>
      <c r="H352" t="s">
        <v>234</v>
      </c>
      <c r="I352" s="14" t="s">
        <v>233</v>
      </c>
      <c r="J352" s="14" t="s">
        <v>234</v>
      </c>
      <c r="K352" s="14" t="s">
        <v>233</v>
      </c>
      <c r="L352" s="14" t="s">
        <v>234</v>
      </c>
      <c r="M352" s="14">
        <v>42559</v>
      </c>
      <c r="N352" s="14" t="str">
        <f t="shared" si="15"/>
        <v>2016</v>
      </c>
    </row>
    <row r="353" spans="1:14" x14ac:dyDescent="0.25">
      <c r="A353">
        <v>2015</v>
      </c>
      <c r="B353" s="14" t="s">
        <v>138</v>
      </c>
      <c r="C353" t="s">
        <v>162</v>
      </c>
      <c r="D353" t="s">
        <v>168</v>
      </c>
      <c r="E353">
        <v>4</v>
      </c>
      <c r="F353" t="s">
        <v>215</v>
      </c>
      <c r="G353" s="33" t="s">
        <v>233</v>
      </c>
      <c r="H353" t="s">
        <v>233</v>
      </c>
      <c r="I353" s="14" t="s">
        <v>233</v>
      </c>
      <c r="J353" s="14" t="s">
        <v>234</v>
      </c>
      <c r="K353" s="14" t="s">
        <v>233</v>
      </c>
      <c r="L353" s="14" t="s">
        <v>234</v>
      </c>
      <c r="M353" s="14">
        <v>42433</v>
      </c>
      <c r="N353" s="14" t="str">
        <f t="shared" si="15"/>
        <v>2016</v>
      </c>
    </row>
    <row r="354" spans="1:14" x14ac:dyDescent="0.25">
      <c r="A354">
        <v>2017</v>
      </c>
      <c r="B354" s="14" t="s">
        <v>138</v>
      </c>
      <c r="C354" t="s">
        <v>169</v>
      </c>
      <c r="D354" t="s">
        <v>170</v>
      </c>
      <c r="E354">
        <v>0</v>
      </c>
      <c r="F354" t="s">
        <v>215</v>
      </c>
      <c r="G354" s="33" t="s">
        <v>233</v>
      </c>
      <c r="H354" t="s">
        <v>233</v>
      </c>
      <c r="I354" s="14" t="s">
        <v>233</v>
      </c>
      <c r="J354" s="14" t="s">
        <v>234</v>
      </c>
      <c r="K354" s="14" t="s">
        <v>233</v>
      </c>
      <c r="L354" s="14" t="s">
        <v>234</v>
      </c>
      <c r="M354" s="14">
        <v>43010</v>
      </c>
      <c r="N354" s="14" t="str">
        <f t="shared" si="15"/>
        <v>2017</v>
      </c>
    </row>
    <row r="355" spans="1:14" x14ac:dyDescent="0.25">
      <c r="A355">
        <v>2016</v>
      </c>
      <c r="B355" s="14" t="s">
        <v>138</v>
      </c>
      <c r="C355" t="s">
        <v>169</v>
      </c>
      <c r="D355" t="s">
        <v>170</v>
      </c>
      <c r="E355">
        <v>3</v>
      </c>
      <c r="F355" t="s">
        <v>215</v>
      </c>
      <c r="G355" s="33" t="s">
        <v>233</v>
      </c>
      <c r="H355" t="s">
        <v>233</v>
      </c>
      <c r="I355" s="14" t="s">
        <v>233</v>
      </c>
      <c r="J355" s="14" t="s">
        <v>234</v>
      </c>
      <c r="K355" s="14" t="s">
        <v>233</v>
      </c>
      <c r="L355" s="14" t="s">
        <v>234</v>
      </c>
      <c r="M355" s="14">
        <v>42942</v>
      </c>
      <c r="N355" s="14" t="str">
        <f t="shared" si="15"/>
        <v>2017</v>
      </c>
    </row>
    <row r="356" spans="1:14" x14ac:dyDescent="0.25">
      <c r="A356">
        <v>2016</v>
      </c>
      <c r="B356" s="14" t="s">
        <v>138</v>
      </c>
      <c r="C356" t="s">
        <v>169</v>
      </c>
      <c r="D356" t="s">
        <v>170</v>
      </c>
      <c r="E356">
        <v>0</v>
      </c>
      <c r="F356" t="s">
        <v>215</v>
      </c>
      <c r="G356" s="33" t="s">
        <v>233</v>
      </c>
      <c r="H356" t="s">
        <v>233</v>
      </c>
      <c r="I356" s="14" t="s">
        <v>233</v>
      </c>
      <c r="J356" s="14" t="s">
        <v>234</v>
      </c>
      <c r="K356" s="14" t="s">
        <v>233</v>
      </c>
      <c r="L356" s="14" t="s">
        <v>234</v>
      </c>
      <c r="M356" s="14">
        <v>42747</v>
      </c>
      <c r="N356" s="14" t="str">
        <f t="shared" si="15"/>
        <v>2017</v>
      </c>
    </row>
    <row r="357" spans="1:14" x14ac:dyDescent="0.25">
      <c r="A357">
        <v>2017</v>
      </c>
      <c r="B357" s="14" t="s">
        <v>138</v>
      </c>
      <c r="C357" t="s">
        <v>171</v>
      </c>
      <c r="D357" t="s">
        <v>172</v>
      </c>
      <c r="E357">
        <v>2</v>
      </c>
      <c r="F357" s="17" t="s">
        <v>211</v>
      </c>
      <c r="G357" s="33" t="s">
        <v>233</v>
      </c>
      <c r="H357" t="s">
        <v>233</v>
      </c>
      <c r="I357" s="14" t="s">
        <v>233</v>
      </c>
      <c r="J357" s="14" t="s">
        <v>234</v>
      </c>
      <c r="K357" s="14" t="s">
        <v>234</v>
      </c>
      <c r="L357" s="14" t="s">
        <v>234</v>
      </c>
      <c r="M357" s="14">
        <v>43119</v>
      </c>
      <c r="N357" s="14" t="str">
        <f t="shared" si="15"/>
        <v>2018</v>
      </c>
    </row>
    <row r="358" spans="1:14" x14ac:dyDescent="0.25">
      <c r="A358">
        <v>2017</v>
      </c>
      <c r="B358" s="14" t="s">
        <v>138</v>
      </c>
      <c r="C358" t="s">
        <v>171</v>
      </c>
      <c r="D358" t="s">
        <v>172</v>
      </c>
      <c r="E358">
        <v>3</v>
      </c>
      <c r="F358" s="17" t="s">
        <v>215</v>
      </c>
      <c r="G358" s="33" t="s">
        <v>233</v>
      </c>
      <c r="H358" t="s">
        <v>234</v>
      </c>
      <c r="I358" s="14" t="s">
        <v>234</v>
      </c>
      <c r="J358" s="14" t="s">
        <v>233</v>
      </c>
      <c r="K358" s="14" t="s">
        <v>234</v>
      </c>
      <c r="L358" s="14" t="s">
        <v>234</v>
      </c>
      <c r="M358" s="14">
        <v>43084</v>
      </c>
      <c r="N358" s="14" t="str">
        <f t="shared" si="15"/>
        <v>2017</v>
      </c>
    </row>
    <row r="359" spans="1:14" x14ac:dyDescent="0.25">
      <c r="A359">
        <v>2017</v>
      </c>
      <c r="B359" s="14" t="s">
        <v>138</v>
      </c>
      <c r="C359" t="s">
        <v>171</v>
      </c>
      <c r="D359" t="s">
        <v>172</v>
      </c>
      <c r="E359">
        <v>5</v>
      </c>
      <c r="F359" s="17" t="s">
        <v>211</v>
      </c>
      <c r="G359" s="33" t="s">
        <v>233</v>
      </c>
      <c r="H359" t="s">
        <v>233</v>
      </c>
      <c r="I359" s="14" t="s">
        <v>234</v>
      </c>
      <c r="J359" s="14" t="s">
        <v>234</v>
      </c>
      <c r="K359" s="14" t="s">
        <v>234</v>
      </c>
      <c r="L359" s="14" t="s">
        <v>234</v>
      </c>
      <c r="M359" s="14">
        <v>43067</v>
      </c>
      <c r="N359" s="14" t="str">
        <f t="shared" si="15"/>
        <v>2017</v>
      </c>
    </row>
    <row r="360" spans="1:14" x14ac:dyDescent="0.25">
      <c r="A360">
        <v>2017</v>
      </c>
      <c r="B360" s="14" t="s">
        <v>138</v>
      </c>
      <c r="C360" t="s">
        <v>171</v>
      </c>
      <c r="D360" t="s">
        <v>173</v>
      </c>
      <c r="E360">
        <v>6</v>
      </c>
      <c r="F360" s="17" t="s">
        <v>211</v>
      </c>
      <c r="G360" s="33" t="s">
        <v>233</v>
      </c>
      <c r="H360" t="s">
        <v>234</v>
      </c>
      <c r="I360" s="14" t="s">
        <v>233</v>
      </c>
      <c r="J360" s="14" t="s">
        <v>233</v>
      </c>
      <c r="K360" s="14" t="s">
        <v>233</v>
      </c>
      <c r="L360" s="14" t="s">
        <v>233</v>
      </c>
      <c r="M360" s="14">
        <v>43006</v>
      </c>
      <c r="N360" s="14" t="str">
        <f t="shared" si="15"/>
        <v>2017</v>
      </c>
    </row>
    <row r="361" spans="1:14" x14ac:dyDescent="0.25">
      <c r="A361">
        <v>2016</v>
      </c>
      <c r="B361" s="14" t="s">
        <v>138</v>
      </c>
      <c r="C361" t="s">
        <v>171</v>
      </c>
      <c r="D361" t="s">
        <v>173</v>
      </c>
      <c r="E361">
        <v>4</v>
      </c>
      <c r="F361" s="17" t="s">
        <v>211</v>
      </c>
      <c r="G361" s="33" t="s">
        <v>233</v>
      </c>
      <c r="H361" t="s">
        <v>233</v>
      </c>
      <c r="I361" s="14" t="s">
        <v>234</v>
      </c>
      <c r="J361" s="14" t="s">
        <v>234</v>
      </c>
      <c r="K361" s="14" t="s">
        <v>233</v>
      </c>
      <c r="L361" s="14" t="s">
        <v>234</v>
      </c>
      <c r="M361" s="14">
        <v>42860</v>
      </c>
      <c r="N361" s="14" t="str">
        <f t="shared" si="15"/>
        <v>2017</v>
      </c>
    </row>
    <row r="362" spans="1:14" x14ac:dyDescent="0.25">
      <c r="A362">
        <v>2016</v>
      </c>
      <c r="B362" s="14" t="s">
        <v>138</v>
      </c>
      <c r="C362" t="s">
        <v>171</v>
      </c>
      <c r="D362" t="s">
        <v>173</v>
      </c>
      <c r="E362">
        <v>2</v>
      </c>
      <c r="F362" s="17" t="s">
        <v>215</v>
      </c>
      <c r="G362" s="33" t="s">
        <v>233</v>
      </c>
      <c r="H362" t="s">
        <v>233</v>
      </c>
      <c r="I362" s="14" t="s">
        <v>233</v>
      </c>
      <c r="J362" s="14" t="s">
        <v>234</v>
      </c>
      <c r="K362" s="14" t="s">
        <v>234</v>
      </c>
      <c r="L362" s="14" t="s">
        <v>234</v>
      </c>
      <c r="M362" s="14">
        <v>42758</v>
      </c>
      <c r="N362" s="14" t="str">
        <f t="shared" si="15"/>
        <v>2017</v>
      </c>
    </row>
    <row r="363" spans="1:14" x14ac:dyDescent="0.25">
      <c r="A363">
        <v>2015</v>
      </c>
      <c r="B363" s="14" t="s">
        <v>138</v>
      </c>
      <c r="C363" t="s">
        <v>171</v>
      </c>
      <c r="D363" t="s">
        <v>173</v>
      </c>
      <c r="E363">
        <v>0</v>
      </c>
      <c r="F363" s="17" t="s">
        <v>211</v>
      </c>
      <c r="G363" s="33" t="s">
        <v>233</v>
      </c>
      <c r="H363" t="s">
        <v>233</v>
      </c>
      <c r="I363" s="14" t="s">
        <v>233</v>
      </c>
      <c r="J363" s="14" t="s">
        <v>234</v>
      </c>
      <c r="K363" s="14" t="s">
        <v>233</v>
      </c>
      <c r="L363" s="14" t="s">
        <v>234</v>
      </c>
      <c r="M363" s="14">
        <v>42509</v>
      </c>
      <c r="N363" s="14" t="str">
        <f t="shared" si="15"/>
        <v>2016</v>
      </c>
    </row>
    <row r="364" spans="1:14" x14ac:dyDescent="0.25">
      <c r="A364">
        <v>2017</v>
      </c>
      <c r="B364" s="14" t="s">
        <v>138</v>
      </c>
      <c r="C364" t="s">
        <v>174</v>
      </c>
      <c r="D364" t="s">
        <v>175</v>
      </c>
      <c r="E364">
        <v>1</v>
      </c>
      <c r="F364" s="17" t="s">
        <v>211</v>
      </c>
      <c r="G364" s="33" t="s">
        <v>233</v>
      </c>
      <c r="H364" t="s">
        <v>233</v>
      </c>
      <c r="I364" s="14" t="s">
        <v>234</v>
      </c>
      <c r="J364" s="14" t="s">
        <v>234</v>
      </c>
      <c r="K364" s="14" t="s">
        <v>234</v>
      </c>
      <c r="L364" s="14" t="s">
        <v>234</v>
      </c>
      <c r="M364" s="14">
        <v>43133</v>
      </c>
      <c r="N364" s="14" t="str">
        <f t="shared" si="15"/>
        <v>2018</v>
      </c>
    </row>
    <row r="365" spans="1:14" x14ac:dyDescent="0.25">
      <c r="A365">
        <v>2017</v>
      </c>
      <c r="B365" s="14" t="s">
        <v>138</v>
      </c>
      <c r="C365" t="s">
        <v>174</v>
      </c>
      <c r="D365" t="s">
        <v>176</v>
      </c>
      <c r="E365">
        <v>14</v>
      </c>
      <c r="F365" s="17" t="s">
        <v>211</v>
      </c>
      <c r="G365" s="33" t="s">
        <v>233</v>
      </c>
      <c r="H365" t="s">
        <v>233</v>
      </c>
      <c r="I365" s="14" t="s">
        <v>234</v>
      </c>
      <c r="J365" s="14" t="s">
        <v>234</v>
      </c>
      <c r="K365" s="14" t="s">
        <v>234</v>
      </c>
      <c r="L365" s="14" t="s">
        <v>234</v>
      </c>
      <c r="M365" s="14">
        <v>43090</v>
      </c>
      <c r="N365" s="14" t="str">
        <f t="shared" si="15"/>
        <v>2017</v>
      </c>
    </row>
    <row r="366" spans="1:14" x14ac:dyDescent="0.25">
      <c r="A366">
        <v>2016</v>
      </c>
      <c r="B366" s="14" t="s">
        <v>138</v>
      </c>
      <c r="C366" t="s">
        <v>174</v>
      </c>
      <c r="D366" t="s">
        <v>177</v>
      </c>
      <c r="E366">
        <v>0</v>
      </c>
      <c r="F366" s="17" t="s">
        <v>211</v>
      </c>
      <c r="G366" s="33" t="s">
        <v>233</v>
      </c>
      <c r="H366" t="s">
        <v>233</v>
      </c>
      <c r="I366" s="14" t="s">
        <v>234</v>
      </c>
      <c r="J366" s="14" t="s">
        <v>234</v>
      </c>
      <c r="K366" s="14" t="s">
        <v>233</v>
      </c>
      <c r="L366" s="14" t="s">
        <v>234</v>
      </c>
      <c r="M366" s="14">
        <v>42928</v>
      </c>
      <c r="N366" s="14" t="str">
        <f t="shared" si="15"/>
        <v>2017</v>
      </c>
    </row>
    <row r="367" spans="1:14" x14ac:dyDescent="0.25">
      <c r="A367">
        <v>2016</v>
      </c>
      <c r="B367" s="14" t="s">
        <v>138</v>
      </c>
      <c r="C367" t="s">
        <v>174</v>
      </c>
      <c r="D367" t="s">
        <v>178</v>
      </c>
      <c r="E367">
        <v>7</v>
      </c>
      <c r="F367" s="17" t="s">
        <v>215</v>
      </c>
      <c r="G367" s="33" t="s">
        <v>233</v>
      </c>
      <c r="H367" t="s">
        <v>233</v>
      </c>
      <c r="I367" s="14" t="s">
        <v>234</v>
      </c>
      <c r="J367" s="14" t="s">
        <v>234</v>
      </c>
      <c r="K367" s="14" t="s">
        <v>234</v>
      </c>
      <c r="L367" s="14" t="s">
        <v>234</v>
      </c>
      <c r="M367" s="14">
        <v>42723</v>
      </c>
      <c r="N367" s="14" t="str">
        <f t="shared" si="15"/>
        <v>2016</v>
      </c>
    </row>
    <row r="368" spans="1:14" x14ac:dyDescent="0.25">
      <c r="A368">
        <v>2017</v>
      </c>
      <c r="B368" s="14" t="s">
        <v>138</v>
      </c>
      <c r="C368" t="s">
        <v>179</v>
      </c>
      <c r="D368" t="s">
        <v>180</v>
      </c>
      <c r="E368">
        <v>0</v>
      </c>
      <c r="F368" s="17" t="s">
        <v>211</v>
      </c>
      <c r="G368" s="33" t="s">
        <v>233</v>
      </c>
      <c r="H368" t="s">
        <v>233</v>
      </c>
      <c r="I368" s="14" t="s">
        <v>233</v>
      </c>
      <c r="J368" s="14" t="s">
        <v>233</v>
      </c>
      <c r="K368" s="14" t="s">
        <v>233</v>
      </c>
      <c r="L368" s="14" t="s">
        <v>233</v>
      </c>
      <c r="M368" s="14">
        <v>43257</v>
      </c>
      <c r="N368" s="14" t="str">
        <f t="shared" si="15"/>
        <v>2018</v>
      </c>
    </row>
    <row r="369" spans="1:14" x14ac:dyDescent="0.25">
      <c r="A369">
        <v>2017</v>
      </c>
      <c r="B369" s="14" t="s">
        <v>138</v>
      </c>
      <c r="C369" t="s">
        <v>179</v>
      </c>
      <c r="D369" t="s">
        <v>181</v>
      </c>
      <c r="E369">
        <v>0</v>
      </c>
      <c r="F369" s="17" t="s">
        <v>215</v>
      </c>
      <c r="G369" s="33" t="s">
        <v>233</v>
      </c>
      <c r="H369" t="s">
        <v>233</v>
      </c>
      <c r="I369" s="14" t="s">
        <v>233</v>
      </c>
      <c r="J369" s="14" t="s">
        <v>233</v>
      </c>
      <c r="K369" s="14" t="s">
        <v>233</v>
      </c>
      <c r="L369" s="14" t="s">
        <v>233</v>
      </c>
      <c r="M369" s="14">
        <v>43255</v>
      </c>
      <c r="N369" s="14" t="str">
        <f t="shared" si="15"/>
        <v>2018</v>
      </c>
    </row>
    <row r="370" spans="1:14" x14ac:dyDescent="0.25">
      <c r="A370">
        <v>2017</v>
      </c>
      <c r="B370" s="14" t="s">
        <v>138</v>
      </c>
      <c r="C370" t="s">
        <v>179</v>
      </c>
      <c r="D370" t="s">
        <v>180</v>
      </c>
      <c r="E370">
        <v>0</v>
      </c>
      <c r="F370" s="17" t="s">
        <v>215</v>
      </c>
      <c r="G370" s="33" t="s">
        <v>233</v>
      </c>
      <c r="H370" t="s">
        <v>233</v>
      </c>
      <c r="I370" s="14" t="s">
        <v>234</v>
      </c>
      <c r="J370" s="14" t="s">
        <v>233</v>
      </c>
      <c r="K370" s="14" t="s">
        <v>233</v>
      </c>
      <c r="L370" s="14" t="s">
        <v>233</v>
      </c>
      <c r="M370" s="14">
        <v>43243</v>
      </c>
      <c r="N370" s="14" t="str">
        <f t="shared" si="15"/>
        <v>2018</v>
      </c>
    </row>
    <row r="371" spans="1:14" x14ac:dyDescent="0.25">
      <c r="A371">
        <v>2017</v>
      </c>
      <c r="B371" s="14" t="s">
        <v>138</v>
      </c>
      <c r="C371" t="s">
        <v>179</v>
      </c>
      <c r="D371" t="s">
        <v>182</v>
      </c>
      <c r="E371">
        <v>3</v>
      </c>
      <c r="F371" s="17" t="s">
        <v>215</v>
      </c>
      <c r="G371" s="33" t="s">
        <v>233</v>
      </c>
      <c r="H371" t="s">
        <v>233</v>
      </c>
      <c r="I371" s="14" t="s">
        <v>233</v>
      </c>
      <c r="J371" s="14" t="s">
        <v>233</v>
      </c>
      <c r="K371" s="14" t="s">
        <v>233</v>
      </c>
      <c r="L371" s="14" t="s">
        <v>233</v>
      </c>
      <c r="M371" s="14">
        <v>43243</v>
      </c>
      <c r="N371" s="14" t="str">
        <f t="shared" si="15"/>
        <v>2018</v>
      </c>
    </row>
    <row r="372" spans="1:14" x14ac:dyDescent="0.25">
      <c r="A372">
        <v>2017</v>
      </c>
      <c r="B372" s="14" t="s">
        <v>138</v>
      </c>
      <c r="C372" t="s">
        <v>179</v>
      </c>
      <c r="D372" t="s">
        <v>180</v>
      </c>
      <c r="E372">
        <v>0</v>
      </c>
      <c r="F372" s="17" t="s">
        <v>211</v>
      </c>
      <c r="G372" s="33" t="s">
        <v>233</v>
      </c>
      <c r="H372" t="s">
        <v>233</v>
      </c>
      <c r="I372" s="14" t="s">
        <v>234</v>
      </c>
      <c r="J372" s="14" t="s">
        <v>233</v>
      </c>
      <c r="K372" s="14" t="s">
        <v>233</v>
      </c>
      <c r="L372" s="14" t="s">
        <v>233</v>
      </c>
      <c r="M372" s="14">
        <v>43243</v>
      </c>
      <c r="N372" s="14" t="str">
        <f t="shared" si="15"/>
        <v>2018</v>
      </c>
    </row>
    <row r="373" spans="1:14" x14ac:dyDescent="0.25">
      <c r="A373">
        <v>2017</v>
      </c>
      <c r="B373" s="14" t="s">
        <v>138</v>
      </c>
      <c r="C373" t="s">
        <v>179</v>
      </c>
      <c r="D373" t="s">
        <v>180</v>
      </c>
      <c r="E373">
        <v>1</v>
      </c>
      <c r="F373" s="17" t="s">
        <v>215</v>
      </c>
      <c r="G373" s="33" t="s">
        <v>233</v>
      </c>
      <c r="H373" t="s">
        <v>233</v>
      </c>
      <c r="I373" s="14" t="s">
        <v>233</v>
      </c>
      <c r="J373" s="14" t="s">
        <v>233</v>
      </c>
      <c r="K373" s="14" t="s">
        <v>233</v>
      </c>
      <c r="L373" s="14" t="s">
        <v>233</v>
      </c>
      <c r="M373" s="14">
        <v>43238</v>
      </c>
      <c r="N373" s="14" t="str">
        <f t="shared" si="15"/>
        <v>2018</v>
      </c>
    </row>
    <row r="374" spans="1:14" x14ac:dyDescent="0.25">
      <c r="A374">
        <v>2017</v>
      </c>
      <c r="B374" s="14" t="s">
        <v>138</v>
      </c>
      <c r="C374" t="s">
        <v>179</v>
      </c>
      <c r="D374" t="s">
        <v>183</v>
      </c>
      <c r="E374">
        <v>22</v>
      </c>
      <c r="F374" s="17" t="s">
        <v>211</v>
      </c>
      <c r="G374" s="33" t="s">
        <v>233</v>
      </c>
      <c r="H374" t="s">
        <v>233</v>
      </c>
      <c r="I374" s="14" t="s">
        <v>234</v>
      </c>
      <c r="J374" s="14" t="s">
        <v>233</v>
      </c>
      <c r="K374" s="14" t="s">
        <v>233</v>
      </c>
      <c r="L374" s="14" t="s">
        <v>233</v>
      </c>
      <c r="M374" s="14">
        <v>43206</v>
      </c>
      <c r="N374" s="14" t="str">
        <f t="shared" si="15"/>
        <v>2018</v>
      </c>
    </row>
    <row r="375" spans="1:14" x14ac:dyDescent="0.25">
      <c r="A375">
        <v>2017</v>
      </c>
      <c r="B375" s="14" t="s">
        <v>138</v>
      </c>
      <c r="C375" t="s">
        <v>179</v>
      </c>
      <c r="D375" t="s">
        <v>184</v>
      </c>
      <c r="E375">
        <v>5</v>
      </c>
      <c r="F375" s="17" t="s">
        <v>211</v>
      </c>
      <c r="G375" s="33" t="s">
        <v>233</v>
      </c>
      <c r="H375" t="s">
        <v>233</v>
      </c>
      <c r="I375" s="14" t="s">
        <v>234</v>
      </c>
      <c r="J375" s="14" t="s">
        <v>233</v>
      </c>
      <c r="K375" s="14" t="s">
        <v>233</v>
      </c>
      <c r="L375" s="14" t="s">
        <v>234</v>
      </c>
      <c r="M375" s="14">
        <v>43203</v>
      </c>
      <c r="N375" s="14" t="str">
        <f t="shared" si="15"/>
        <v>2018</v>
      </c>
    </row>
    <row r="376" spans="1:14" x14ac:dyDescent="0.25">
      <c r="A376">
        <v>2017</v>
      </c>
      <c r="B376" s="14" t="s">
        <v>138</v>
      </c>
      <c r="C376" t="s">
        <v>179</v>
      </c>
      <c r="D376" t="s">
        <v>185</v>
      </c>
      <c r="E376">
        <v>6</v>
      </c>
      <c r="F376" s="17" t="s">
        <v>211</v>
      </c>
      <c r="G376" s="33" t="s">
        <v>233</v>
      </c>
      <c r="H376" t="s">
        <v>234</v>
      </c>
      <c r="I376" s="14" t="s">
        <v>233</v>
      </c>
      <c r="J376" s="14" t="s">
        <v>233</v>
      </c>
      <c r="K376" s="14" t="s">
        <v>233</v>
      </c>
      <c r="L376" s="14" t="s">
        <v>234</v>
      </c>
      <c r="M376" s="14">
        <v>43202</v>
      </c>
      <c r="N376" s="14" t="str">
        <f t="shared" si="15"/>
        <v>2018</v>
      </c>
    </row>
    <row r="377" spans="1:14" x14ac:dyDescent="0.25">
      <c r="A377">
        <v>2017</v>
      </c>
      <c r="B377" s="14" t="s">
        <v>138</v>
      </c>
      <c r="C377" t="s">
        <v>179</v>
      </c>
      <c r="D377" t="s">
        <v>181</v>
      </c>
      <c r="E377">
        <v>1</v>
      </c>
      <c r="F377" s="17" t="s">
        <v>211</v>
      </c>
      <c r="G377" s="33" t="s">
        <v>233</v>
      </c>
      <c r="H377" t="s">
        <v>233</v>
      </c>
      <c r="I377" s="14" t="s">
        <v>233</v>
      </c>
      <c r="J377" s="14" t="s">
        <v>234</v>
      </c>
      <c r="K377" s="14" t="s">
        <v>234</v>
      </c>
      <c r="L377" s="14" t="s">
        <v>234</v>
      </c>
      <c r="M377" s="14">
        <v>43200</v>
      </c>
      <c r="N377" s="14" t="str">
        <f t="shared" si="15"/>
        <v>2018</v>
      </c>
    </row>
    <row r="378" spans="1:14" x14ac:dyDescent="0.25">
      <c r="A378">
        <v>2017</v>
      </c>
      <c r="B378" s="14" t="s">
        <v>138</v>
      </c>
      <c r="C378" t="s">
        <v>179</v>
      </c>
      <c r="D378" t="s">
        <v>186</v>
      </c>
      <c r="E378">
        <v>2</v>
      </c>
      <c r="F378" s="17" t="s">
        <v>215</v>
      </c>
      <c r="G378" s="33" t="s">
        <v>233</v>
      </c>
      <c r="H378" t="s">
        <v>233</v>
      </c>
      <c r="I378" s="14" t="s">
        <v>233</v>
      </c>
      <c r="J378" s="14" t="s">
        <v>233</v>
      </c>
      <c r="K378" s="14" t="s">
        <v>234</v>
      </c>
      <c r="L378" s="14" t="s">
        <v>234</v>
      </c>
      <c r="M378" s="14">
        <v>43195</v>
      </c>
      <c r="N378" s="14" t="str">
        <f t="shared" si="15"/>
        <v>2018</v>
      </c>
    </row>
    <row r="379" spans="1:14" x14ac:dyDescent="0.25">
      <c r="A379">
        <v>2017</v>
      </c>
      <c r="B379" s="14" t="s">
        <v>138</v>
      </c>
      <c r="C379" t="s">
        <v>179</v>
      </c>
      <c r="D379" t="s">
        <v>186</v>
      </c>
      <c r="E379">
        <v>0</v>
      </c>
      <c r="F379" s="17" t="s">
        <v>215</v>
      </c>
      <c r="G379" s="33" t="s">
        <v>233</v>
      </c>
      <c r="H379" t="s">
        <v>233</v>
      </c>
      <c r="I379" s="14" t="s">
        <v>233</v>
      </c>
      <c r="J379" s="14" t="s">
        <v>234</v>
      </c>
      <c r="K379" s="14" t="s">
        <v>234</v>
      </c>
      <c r="L379" s="14" t="s">
        <v>234</v>
      </c>
      <c r="M379" s="14">
        <v>43195</v>
      </c>
      <c r="N379" s="14" t="str">
        <f t="shared" si="15"/>
        <v>2018</v>
      </c>
    </row>
    <row r="380" spans="1:14" x14ac:dyDescent="0.25">
      <c r="A380">
        <v>2017</v>
      </c>
      <c r="B380" s="14" t="s">
        <v>138</v>
      </c>
      <c r="C380" t="s">
        <v>179</v>
      </c>
      <c r="D380" t="s">
        <v>180</v>
      </c>
      <c r="E380">
        <v>1</v>
      </c>
      <c r="F380" s="17" t="s">
        <v>215</v>
      </c>
      <c r="G380" s="33" t="s">
        <v>233</v>
      </c>
      <c r="H380" t="s">
        <v>233</v>
      </c>
      <c r="I380" s="14" t="s">
        <v>233</v>
      </c>
      <c r="J380" s="14" t="s">
        <v>233</v>
      </c>
      <c r="K380" s="14" t="s">
        <v>233</v>
      </c>
      <c r="L380" s="14" t="s">
        <v>234</v>
      </c>
      <c r="M380" s="14">
        <v>43181</v>
      </c>
      <c r="N380" s="14" t="str">
        <f t="shared" si="15"/>
        <v>2018</v>
      </c>
    </row>
    <row r="381" spans="1:14" x14ac:dyDescent="0.25">
      <c r="A381">
        <v>2017</v>
      </c>
      <c r="B381" s="14" t="s">
        <v>138</v>
      </c>
      <c r="C381" t="s">
        <v>179</v>
      </c>
      <c r="D381" t="s">
        <v>181</v>
      </c>
      <c r="E381">
        <v>0</v>
      </c>
      <c r="F381" s="17" t="s">
        <v>211</v>
      </c>
      <c r="G381" s="33" t="s">
        <v>233</v>
      </c>
      <c r="H381" t="s">
        <v>233</v>
      </c>
      <c r="I381" s="14" t="s">
        <v>233</v>
      </c>
      <c r="J381" s="14" t="s">
        <v>233</v>
      </c>
      <c r="K381" s="14" t="s">
        <v>233</v>
      </c>
      <c r="L381" s="14" t="s">
        <v>234</v>
      </c>
      <c r="M381" s="14">
        <v>43168</v>
      </c>
      <c r="N381" s="14" t="str">
        <f t="shared" si="15"/>
        <v>2018</v>
      </c>
    </row>
    <row r="382" spans="1:14" x14ac:dyDescent="0.25">
      <c r="A382">
        <v>2017</v>
      </c>
      <c r="B382" s="14" t="s">
        <v>138</v>
      </c>
      <c r="C382" t="s">
        <v>179</v>
      </c>
      <c r="D382" t="s">
        <v>180</v>
      </c>
      <c r="E382">
        <v>1</v>
      </c>
      <c r="F382" s="17" t="s">
        <v>215</v>
      </c>
      <c r="G382" s="33" t="s">
        <v>233</v>
      </c>
      <c r="H382" t="s">
        <v>233</v>
      </c>
      <c r="I382" s="14" t="s">
        <v>234</v>
      </c>
      <c r="J382" s="14" t="s">
        <v>234</v>
      </c>
      <c r="K382" s="14" t="s">
        <v>234</v>
      </c>
      <c r="L382" s="14" t="s">
        <v>234</v>
      </c>
      <c r="M382" s="14">
        <v>43165</v>
      </c>
      <c r="N382" s="14" t="str">
        <f t="shared" si="15"/>
        <v>2018</v>
      </c>
    </row>
    <row r="383" spans="1:14" x14ac:dyDescent="0.25">
      <c r="A383">
        <v>2017</v>
      </c>
      <c r="B383" s="14" t="s">
        <v>138</v>
      </c>
      <c r="C383" t="s">
        <v>179</v>
      </c>
      <c r="D383" t="s">
        <v>187</v>
      </c>
      <c r="E383">
        <v>2</v>
      </c>
      <c r="F383" s="17" t="s">
        <v>211</v>
      </c>
      <c r="G383" s="33" t="s">
        <v>234</v>
      </c>
      <c r="H383" t="s">
        <v>233</v>
      </c>
      <c r="I383" s="14" t="s">
        <v>234</v>
      </c>
      <c r="J383" s="14" t="s">
        <v>233</v>
      </c>
      <c r="K383" s="14" t="s">
        <v>233</v>
      </c>
      <c r="L383" s="14" t="s">
        <v>234</v>
      </c>
      <c r="M383" s="14">
        <v>43157</v>
      </c>
      <c r="N383" s="14" t="str">
        <f t="shared" si="15"/>
        <v>2018</v>
      </c>
    </row>
    <row r="384" spans="1:14" x14ac:dyDescent="0.25">
      <c r="A384">
        <v>2017</v>
      </c>
      <c r="B384" s="14" t="s">
        <v>138</v>
      </c>
      <c r="C384" t="s">
        <v>179</v>
      </c>
      <c r="D384" t="s">
        <v>181</v>
      </c>
      <c r="E384">
        <v>0</v>
      </c>
      <c r="F384" s="17" t="s">
        <v>211</v>
      </c>
      <c r="G384" s="33" t="s">
        <v>233</v>
      </c>
      <c r="H384" t="s">
        <v>233</v>
      </c>
      <c r="I384" s="14" t="s">
        <v>233</v>
      </c>
      <c r="J384" s="14" t="s">
        <v>233</v>
      </c>
      <c r="K384" s="14" t="s">
        <v>233</v>
      </c>
      <c r="L384" s="14" t="s">
        <v>233</v>
      </c>
      <c r="M384" s="14">
        <v>43133</v>
      </c>
      <c r="N384" s="14" t="str">
        <f t="shared" si="15"/>
        <v>2018</v>
      </c>
    </row>
    <row r="385" spans="1:14" x14ac:dyDescent="0.25">
      <c r="A385">
        <v>2017</v>
      </c>
      <c r="B385" s="14" t="s">
        <v>138</v>
      </c>
      <c r="C385" t="s">
        <v>179</v>
      </c>
      <c r="D385" t="s">
        <v>187</v>
      </c>
      <c r="E385">
        <v>2</v>
      </c>
      <c r="F385" s="17" t="s">
        <v>211</v>
      </c>
      <c r="G385" s="33" t="s">
        <v>233</v>
      </c>
      <c r="H385" t="s">
        <v>233</v>
      </c>
      <c r="I385" s="14" t="s">
        <v>233</v>
      </c>
      <c r="J385" s="14" t="s">
        <v>233</v>
      </c>
      <c r="K385" s="14" t="s">
        <v>234</v>
      </c>
      <c r="L385" s="14" t="s">
        <v>234</v>
      </c>
      <c r="M385" s="14">
        <v>43126</v>
      </c>
      <c r="N385" s="14" t="str">
        <f t="shared" si="15"/>
        <v>2018</v>
      </c>
    </row>
    <row r="386" spans="1:14" x14ac:dyDescent="0.25">
      <c r="A386">
        <v>2017</v>
      </c>
      <c r="B386" s="14" t="s">
        <v>138</v>
      </c>
      <c r="C386" t="s">
        <v>179</v>
      </c>
      <c r="D386" t="s">
        <v>188</v>
      </c>
      <c r="E386">
        <v>3</v>
      </c>
      <c r="F386" s="17" t="s">
        <v>215</v>
      </c>
      <c r="G386" s="33" t="s">
        <v>233</v>
      </c>
      <c r="H386" t="s">
        <v>233</v>
      </c>
      <c r="I386" s="14" t="s">
        <v>233</v>
      </c>
      <c r="J386" s="14" t="s">
        <v>234</v>
      </c>
      <c r="K386" s="14" t="s">
        <v>234</v>
      </c>
      <c r="L386" s="14" t="s">
        <v>234</v>
      </c>
      <c r="M386" s="14">
        <v>43111</v>
      </c>
      <c r="N386" s="14" t="str">
        <f t="shared" si="15"/>
        <v>2018</v>
      </c>
    </row>
    <row r="387" spans="1:14" x14ac:dyDescent="0.25">
      <c r="A387">
        <v>2017</v>
      </c>
      <c r="B387" s="14" t="s">
        <v>138</v>
      </c>
      <c r="C387" t="s">
        <v>179</v>
      </c>
      <c r="D387" t="s">
        <v>184</v>
      </c>
      <c r="E387">
        <v>0</v>
      </c>
      <c r="F387" s="17" t="s">
        <v>211</v>
      </c>
      <c r="G387" s="33" t="s">
        <v>233</v>
      </c>
      <c r="H387" t="s">
        <v>233</v>
      </c>
      <c r="I387" s="14" t="s">
        <v>233</v>
      </c>
      <c r="J387" s="14" t="s">
        <v>234</v>
      </c>
      <c r="K387" s="14" t="s">
        <v>234</v>
      </c>
      <c r="L387" s="14" t="s">
        <v>234</v>
      </c>
      <c r="M387" s="14">
        <v>43089</v>
      </c>
      <c r="N387" s="14" t="str">
        <f t="shared" si="15"/>
        <v>2017</v>
      </c>
    </row>
    <row r="388" spans="1:14" x14ac:dyDescent="0.25">
      <c r="A388">
        <v>2017</v>
      </c>
      <c r="B388" s="14" t="s">
        <v>138</v>
      </c>
      <c r="C388" t="s">
        <v>179</v>
      </c>
      <c r="D388" t="s">
        <v>180</v>
      </c>
      <c r="E388">
        <v>0</v>
      </c>
      <c r="F388" s="17" t="s">
        <v>211</v>
      </c>
      <c r="G388" s="33" t="s">
        <v>233</v>
      </c>
      <c r="H388" t="s">
        <v>233</v>
      </c>
      <c r="I388" s="14" t="s">
        <v>233</v>
      </c>
      <c r="J388" s="14" t="s">
        <v>234</v>
      </c>
      <c r="K388" s="14" t="s">
        <v>234</v>
      </c>
      <c r="L388" s="14" t="s">
        <v>234</v>
      </c>
      <c r="M388" s="14">
        <v>43088</v>
      </c>
      <c r="N388" s="14" t="str">
        <f t="shared" si="15"/>
        <v>2017</v>
      </c>
    </row>
    <row r="389" spans="1:14" x14ac:dyDescent="0.25">
      <c r="A389">
        <v>2017</v>
      </c>
      <c r="B389" s="14" t="s">
        <v>138</v>
      </c>
      <c r="C389" t="s">
        <v>179</v>
      </c>
      <c r="D389" t="s">
        <v>180</v>
      </c>
      <c r="E389">
        <v>1</v>
      </c>
      <c r="F389" s="17" t="s">
        <v>211</v>
      </c>
      <c r="G389" s="33" t="s">
        <v>233</v>
      </c>
      <c r="H389" t="s">
        <v>233</v>
      </c>
      <c r="I389" s="14" t="s">
        <v>233</v>
      </c>
      <c r="J389" s="14" t="s">
        <v>234</v>
      </c>
      <c r="K389" s="14" t="s">
        <v>234</v>
      </c>
      <c r="L389" s="14" t="s">
        <v>234</v>
      </c>
      <c r="M389" s="14">
        <v>43087</v>
      </c>
      <c r="N389" s="14" t="str">
        <f t="shared" ref="N389:N451" si="16">TEXT(M389,"aaaa")</f>
        <v>2017</v>
      </c>
    </row>
    <row r="390" spans="1:14" x14ac:dyDescent="0.25">
      <c r="A390">
        <v>2017</v>
      </c>
      <c r="B390" s="14" t="s">
        <v>138</v>
      </c>
      <c r="C390" t="s">
        <v>179</v>
      </c>
      <c r="D390" t="s">
        <v>184</v>
      </c>
      <c r="E390">
        <v>3</v>
      </c>
      <c r="F390" s="17" t="s">
        <v>211</v>
      </c>
      <c r="G390" s="33" t="s">
        <v>233</v>
      </c>
      <c r="H390" t="s">
        <v>233</v>
      </c>
      <c r="I390" s="14" t="s">
        <v>233</v>
      </c>
      <c r="J390" s="14" t="s">
        <v>234</v>
      </c>
      <c r="K390" s="14" t="s">
        <v>234</v>
      </c>
      <c r="L390" s="14" t="s">
        <v>234</v>
      </c>
      <c r="M390" s="14">
        <v>43084</v>
      </c>
      <c r="N390" s="14" t="str">
        <f t="shared" si="16"/>
        <v>2017</v>
      </c>
    </row>
    <row r="391" spans="1:14" x14ac:dyDescent="0.25">
      <c r="A391">
        <v>2017</v>
      </c>
      <c r="B391" s="14" t="s">
        <v>138</v>
      </c>
      <c r="C391" t="s">
        <v>179</v>
      </c>
      <c r="D391" t="s">
        <v>189</v>
      </c>
      <c r="E391">
        <v>6</v>
      </c>
      <c r="F391" s="17" t="s">
        <v>211</v>
      </c>
      <c r="G391" s="33" t="s">
        <v>233</v>
      </c>
      <c r="H391" t="s">
        <v>233</v>
      </c>
      <c r="I391" s="14" t="s">
        <v>233</v>
      </c>
      <c r="J391" s="14" t="s">
        <v>234</v>
      </c>
      <c r="K391" s="14" t="s">
        <v>234</v>
      </c>
      <c r="L391" s="14" t="s">
        <v>234</v>
      </c>
      <c r="M391" s="14">
        <v>43073</v>
      </c>
      <c r="N391" s="14" t="str">
        <f t="shared" si="16"/>
        <v>2017</v>
      </c>
    </row>
    <row r="392" spans="1:14" x14ac:dyDescent="0.25">
      <c r="A392">
        <v>2017</v>
      </c>
      <c r="B392" s="14" t="s">
        <v>138</v>
      </c>
      <c r="C392" t="s">
        <v>179</v>
      </c>
      <c r="D392" t="s">
        <v>182</v>
      </c>
      <c r="E392">
        <v>0</v>
      </c>
      <c r="F392" s="17" t="s">
        <v>211</v>
      </c>
      <c r="G392" s="33" t="s">
        <v>233</v>
      </c>
      <c r="H392" t="s">
        <v>233</v>
      </c>
      <c r="I392" s="14" t="s">
        <v>233</v>
      </c>
      <c r="J392" s="14" t="s">
        <v>233</v>
      </c>
      <c r="K392" s="14" t="s">
        <v>233</v>
      </c>
      <c r="L392" s="14" t="s">
        <v>233</v>
      </c>
      <c r="M392" s="14">
        <v>43068</v>
      </c>
      <c r="N392" s="14" t="str">
        <f t="shared" si="16"/>
        <v>2017</v>
      </c>
    </row>
    <row r="393" spans="1:14" x14ac:dyDescent="0.25">
      <c r="A393">
        <v>2017</v>
      </c>
      <c r="B393" s="14" t="s">
        <v>138</v>
      </c>
      <c r="C393" t="s">
        <v>179</v>
      </c>
      <c r="D393" t="s">
        <v>187</v>
      </c>
      <c r="E393">
        <v>0</v>
      </c>
      <c r="F393" s="17" t="s">
        <v>211</v>
      </c>
      <c r="G393" s="33" t="s">
        <v>233</v>
      </c>
      <c r="H393" t="s">
        <v>233</v>
      </c>
      <c r="I393" s="14" t="s">
        <v>233</v>
      </c>
      <c r="J393" s="14" t="s">
        <v>234</v>
      </c>
      <c r="K393" s="14" t="s">
        <v>234</v>
      </c>
      <c r="L393" s="14" t="s">
        <v>234</v>
      </c>
      <c r="M393" s="14">
        <v>43049</v>
      </c>
      <c r="N393" s="14" t="str">
        <f t="shared" si="16"/>
        <v>2017</v>
      </c>
    </row>
    <row r="394" spans="1:14" x14ac:dyDescent="0.25">
      <c r="A394">
        <v>2017</v>
      </c>
      <c r="B394" s="14" t="s">
        <v>138</v>
      </c>
      <c r="C394" t="s">
        <v>179</v>
      </c>
      <c r="D394" t="s">
        <v>185</v>
      </c>
      <c r="E394">
        <v>0</v>
      </c>
      <c r="F394" s="17" t="s">
        <v>211</v>
      </c>
      <c r="G394" s="33" t="s">
        <v>233</v>
      </c>
      <c r="H394" t="s">
        <v>233</v>
      </c>
      <c r="I394" s="14" t="s">
        <v>233</v>
      </c>
      <c r="J394" s="14" t="s">
        <v>234</v>
      </c>
      <c r="K394" s="14" t="s">
        <v>234</v>
      </c>
      <c r="L394" s="14" t="s">
        <v>234</v>
      </c>
      <c r="M394" s="14">
        <v>43035</v>
      </c>
      <c r="N394" s="14" t="str">
        <f t="shared" si="16"/>
        <v>2017</v>
      </c>
    </row>
    <row r="395" spans="1:14" x14ac:dyDescent="0.25">
      <c r="A395">
        <v>2017</v>
      </c>
      <c r="B395" s="14" t="s">
        <v>138</v>
      </c>
      <c r="C395" t="s">
        <v>179</v>
      </c>
      <c r="D395" t="s">
        <v>186</v>
      </c>
      <c r="E395">
        <v>0</v>
      </c>
      <c r="F395" s="17" t="s">
        <v>211</v>
      </c>
      <c r="G395" s="33" t="s">
        <v>233</v>
      </c>
      <c r="H395" t="s">
        <v>233</v>
      </c>
      <c r="I395" s="14" t="s">
        <v>233</v>
      </c>
      <c r="J395" s="14" t="s">
        <v>233</v>
      </c>
      <c r="K395" s="14" t="s">
        <v>234</v>
      </c>
      <c r="L395" s="14" t="s">
        <v>234</v>
      </c>
      <c r="M395" s="14">
        <v>43035</v>
      </c>
      <c r="N395" s="14" t="str">
        <f t="shared" si="16"/>
        <v>2017</v>
      </c>
    </row>
    <row r="396" spans="1:14" x14ac:dyDescent="0.25">
      <c r="A396">
        <v>2017</v>
      </c>
      <c r="B396" s="14" t="s">
        <v>138</v>
      </c>
      <c r="C396" t="s">
        <v>179</v>
      </c>
      <c r="D396" t="s">
        <v>186</v>
      </c>
      <c r="E396">
        <v>1</v>
      </c>
      <c r="F396" s="17" t="s">
        <v>211</v>
      </c>
      <c r="G396" s="33" t="s">
        <v>233</v>
      </c>
      <c r="H396" t="s">
        <v>233</v>
      </c>
      <c r="I396" s="14" t="s">
        <v>233</v>
      </c>
      <c r="J396" s="14" t="s">
        <v>234</v>
      </c>
      <c r="K396" s="14" t="s">
        <v>234</v>
      </c>
      <c r="L396" s="14" t="s">
        <v>234</v>
      </c>
      <c r="M396" s="14">
        <v>43033</v>
      </c>
      <c r="N396" s="14" t="str">
        <f t="shared" si="16"/>
        <v>2017</v>
      </c>
    </row>
    <row r="397" spans="1:14" x14ac:dyDescent="0.25">
      <c r="A397">
        <v>2017</v>
      </c>
      <c r="B397" s="14" t="s">
        <v>138</v>
      </c>
      <c r="C397" t="s">
        <v>179</v>
      </c>
      <c r="D397" t="s">
        <v>185</v>
      </c>
      <c r="E397">
        <v>8</v>
      </c>
      <c r="F397" s="17" t="s">
        <v>211</v>
      </c>
      <c r="G397" s="33" t="s">
        <v>233</v>
      </c>
      <c r="H397" t="s">
        <v>234</v>
      </c>
      <c r="I397" s="14" t="s">
        <v>233</v>
      </c>
      <c r="J397" s="14" t="s">
        <v>234</v>
      </c>
      <c r="K397" s="14" t="s">
        <v>233</v>
      </c>
      <c r="L397" s="14" t="s">
        <v>234</v>
      </c>
      <c r="M397" s="14">
        <v>43028</v>
      </c>
      <c r="N397" s="14" t="str">
        <f t="shared" si="16"/>
        <v>2017</v>
      </c>
    </row>
    <row r="398" spans="1:14" x14ac:dyDescent="0.25">
      <c r="A398">
        <v>2017</v>
      </c>
      <c r="B398" s="14" t="s">
        <v>138</v>
      </c>
      <c r="C398" t="s">
        <v>179</v>
      </c>
      <c r="D398" t="s">
        <v>184</v>
      </c>
      <c r="E398">
        <v>1</v>
      </c>
      <c r="F398" s="17" t="s">
        <v>211</v>
      </c>
      <c r="G398" s="33" t="s">
        <v>233</v>
      </c>
      <c r="H398" t="s">
        <v>233</v>
      </c>
      <c r="I398" s="14" t="s">
        <v>233</v>
      </c>
      <c r="J398" s="14" t="s">
        <v>233</v>
      </c>
      <c r="K398" s="14" t="s">
        <v>233</v>
      </c>
      <c r="L398" s="14" t="s">
        <v>234</v>
      </c>
      <c r="M398" s="14">
        <v>43007</v>
      </c>
      <c r="N398" s="14" t="str">
        <f t="shared" si="16"/>
        <v>2017</v>
      </c>
    </row>
    <row r="399" spans="1:14" x14ac:dyDescent="0.25">
      <c r="A399">
        <v>2016</v>
      </c>
      <c r="B399" s="14" t="s">
        <v>138</v>
      </c>
      <c r="C399" t="s">
        <v>179</v>
      </c>
      <c r="D399" t="s">
        <v>180</v>
      </c>
      <c r="E399">
        <v>3</v>
      </c>
      <c r="F399" s="17" t="s">
        <v>215</v>
      </c>
      <c r="G399" s="33" t="s">
        <v>233</v>
      </c>
      <c r="H399" t="s">
        <v>233</v>
      </c>
      <c r="I399" s="14" t="s">
        <v>233</v>
      </c>
      <c r="J399" s="14" t="s">
        <v>234</v>
      </c>
      <c r="K399" s="14" t="s">
        <v>234</v>
      </c>
      <c r="L399" s="14" t="s">
        <v>234</v>
      </c>
      <c r="M399" s="14">
        <v>42992</v>
      </c>
      <c r="N399" s="14" t="str">
        <f t="shared" si="16"/>
        <v>2017</v>
      </c>
    </row>
    <row r="400" spans="1:14" x14ac:dyDescent="0.25">
      <c r="A400">
        <v>2016</v>
      </c>
      <c r="B400" s="14" t="s">
        <v>138</v>
      </c>
      <c r="C400" t="s">
        <v>179</v>
      </c>
      <c r="D400" t="s">
        <v>182</v>
      </c>
      <c r="E400">
        <v>1</v>
      </c>
      <c r="F400" s="17" t="s">
        <v>211</v>
      </c>
      <c r="G400" s="33" t="s">
        <v>233</v>
      </c>
      <c r="H400" t="s">
        <v>233</v>
      </c>
      <c r="I400" s="14" t="s">
        <v>233</v>
      </c>
      <c r="J400" s="14" t="s">
        <v>234</v>
      </c>
      <c r="K400" s="14" t="s">
        <v>234</v>
      </c>
      <c r="L400" s="14" t="s">
        <v>234</v>
      </c>
      <c r="M400" s="14">
        <v>42986</v>
      </c>
      <c r="N400" s="14" t="str">
        <f t="shared" si="16"/>
        <v>2017</v>
      </c>
    </row>
    <row r="401" spans="1:14" x14ac:dyDescent="0.25">
      <c r="A401">
        <v>2016</v>
      </c>
      <c r="B401" s="14" t="s">
        <v>138</v>
      </c>
      <c r="C401" t="s">
        <v>179</v>
      </c>
      <c r="D401" t="s">
        <v>180</v>
      </c>
      <c r="E401">
        <v>2</v>
      </c>
      <c r="F401" s="17" t="s">
        <v>215</v>
      </c>
      <c r="G401" s="33" t="s">
        <v>233</v>
      </c>
      <c r="H401" t="s">
        <v>233</v>
      </c>
      <c r="I401" s="14" t="s">
        <v>234</v>
      </c>
      <c r="J401" s="14" t="s">
        <v>234</v>
      </c>
      <c r="K401" s="14" t="s">
        <v>233</v>
      </c>
      <c r="L401" s="14" t="s">
        <v>234</v>
      </c>
      <c r="M401" s="14">
        <v>42979</v>
      </c>
      <c r="N401" s="14" t="str">
        <f t="shared" si="16"/>
        <v>2017</v>
      </c>
    </row>
    <row r="402" spans="1:14" x14ac:dyDescent="0.25">
      <c r="A402">
        <v>2016</v>
      </c>
      <c r="B402" s="14" t="s">
        <v>138</v>
      </c>
      <c r="C402" t="s">
        <v>179</v>
      </c>
      <c r="D402" t="s">
        <v>190</v>
      </c>
      <c r="E402">
        <v>1</v>
      </c>
      <c r="F402" s="17" t="s">
        <v>215</v>
      </c>
      <c r="G402" s="33" t="s">
        <v>233</v>
      </c>
      <c r="H402" t="s">
        <v>234</v>
      </c>
      <c r="I402" s="14" t="s">
        <v>233</v>
      </c>
      <c r="J402" s="14" t="s">
        <v>234</v>
      </c>
      <c r="K402" s="14" t="s">
        <v>234</v>
      </c>
      <c r="L402" s="14" t="s">
        <v>234</v>
      </c>
      <c r="M402" s="14">
        <v>42937</v>
      </c>
      <c r="N402" s="14" t="str">
        <f t="shared" si="16"/>
        <v>2017</v>
      </c>
    </row>
    <row r="403" spans="1:14" x14ac:dyDescent="0.25">
      <c r="A403">
        <v>2016</v>
      </c>
      <c r="B403" s="14" t="s">
        <v>138</v>
      </c>
      <c r="C403" t="s">
        <v>179</v>
      </c>
      <c r="D403" t="s">
        <v>187</v>
      </c>
      <c r="E403">
        <v>0</v>
      </c>
      <c r="F403" s="17" t="s">
        <v>211</v>
      </c>
      <c r="G403" s="33" t="s">
        <v>233</v>
      </c>
      <c r="H403" t="s">
        <v>233</v>
      </c>
      <c r="I403" s="14" t="s">
        <v>234</v>
      </c>
      <c r="J403" s="14" t="s">
        <v>234</v>
      </c>
      <c r="K403" s="14" t="s">
        <v>233</v>
      </c>
      <c r="L403" s="14" t="s">
        <v>234</v>
      </c>
      <c r="M403" s="14">
        <v>42926</v>
      </c>
      <c r="N403" s="14" t="str">
        <f t="shared" si="16"/>
        <v>2017</v>
      </c>
    </row>
    <row r="404" spans="1:14" x14ac:dyDescent="0.25">
      <c r="A404">
        <v>2016</v>
      </c>
      <c r="B404" s="14" t="s">
        <v>138</v>
      </c>
      <c r="C404" t="s">
        <v>179</v>
      </c>
      <c r="D404" t="s">
        <v>181</v>
      </c>
      <c r="E404">
        <v>0</v>
      </c>
      <c r="F404" s="17" t="s">
        <v>211</v>
      </c>
      <c r="G404" s="33" t="s">
        <v>233</v>
      </c>
      <c r="H404" t="s">
        <v>233</v>
      </c>
      <c r="I404" s="14" t="s">
        <v>233</v>
      </c>
      <c r="J404" s="14" t="s">
        <v>234</v>
      </c>
      <c r="K404" s="14" t="s">
        <v>233</v>
      </c>
      <c r="L404" s="14" t="s">
        <v>234</v>
      </c>
      <c r="M404" s="14">
        <v>42923</v>
      </c>
      <c r="N404" s="14" t="str">
        <f t="shared" si="16"/>
        <v>2017</v>
      </c>
    </row>
    <row r="405" spans="1:14" x14ac:dyDescent="0.25">
      <c r="A405">
        <v>2016</v>
      </c>
      <c r="B405" s="14" t="s">
        <v>138</v>
      </c>
      <c r="C405" t="s">
        <v>179</v>
      </c>
      <c r="D405" t="s">
        <v>183</v>
      </c>
      <c r="E405">
        <v>11</v>
      </c>
      <c r="F405" s="17" t="s">
        <v>211</v>
      </c>
      <c r="G405" s="33" t="s">
        <v>233</v>
      </c>
      <c r="H405" t="s">
        <v>233</v>
      </c>
      <c r="I405" s="14" t="s">
        <v>233</v>
      </c>
      <c r="J405" s="14" t="s">
        <v>234</v>
      </c>
      <c r="K405" s="14" t="s">
        <v>233</v>
      </c>
      <c r="L405" s="14" t="s">
        <v>234</v>
      </c>
      <c r="M405" s="14">
        <v>42912</v>
      </c>
      <c r="N405" s="14" t="str">
        <f t="shared" si="16"/>
        <v>2017</v>
      </c>
    </row>
    <row r="406" spans="1:14" x14ac:dyDescent="0.25">
      <c r="A406">
        <v>2016</v>
      </c>
      <c r="B406" s="14" t="s">
        <v>138</v>
      </c>
      <c r="C406" t="s">
        <v>179</v>
      </c>
      <c r="D406" t="s">
        <v>184</v>
      </c>
      <c r="E406">
        <v>12</v>
      </c>
      <c r="F406" s="17" t="s">
        <v>211</v>
      </c>
      <c r="G406" s="33" t="s">
        <v>233</v>
      </c>
      <c r="H406" t="s">
        <v>234</v>
      </c>
      <c r="I406" s="14" t="s">
        <v>233</v>
      </c>
      <c r="J406" s="14" t="s">
        <v>234</v>
      </c>
      <c r="K406" s="14" t="s">
        <v>234</v>
      </c>
      <c r="L406" s="14" t="s">
        <v>234</v>
      </c>
      <c r="M406" s="14">
        <v>42909</v>
      </c>
      <c r="N406" s="14" t="str">
        <f t="shared" si="16"/>
        <v>2017</v>
      </c>
    </row>
    <row r="407" spans="1:14" x14ac:dyDescent="0.25">
      <c r="A407">
        <v>2016</v>
      </c>
      <c r="B407" s="14" t="s">
        <v>138</v>
      </c>
      <c r="C407" t="s">
        <v>179</v>
      </c>
      <c r="D407" t="s">
        <v>184</v>
      </c>
      <c r="E407">
        <v>28</v>
      </c>
      <c r="F407" s="17" t="s">
        <v>211</v>
      </c>
      <c r="G407" s="33" t="s">
        <v>233</v>
      </c>
      <c r="H407" t="s">
        <v>233</v>
      </c>
      <c r="I407" s="14" t="s">
        <v>233</v>
      </c>
      <c r="J407" s="14" t="s">
        <v>234</v>
      </c>
      <c r="K407" s="14" t="s">
        <v>233</v>
      </c>
      <c r="L407" s="14" t="s">
        <v>234</v>
      </c>
      <c r="M407" s="14">
        <v>42906</v>
      </c>
      <c r="N407" s="14" t="str">
        <f t="shared" si="16"/>
        <v>2017</v>
      </c>
    </row>
    <row r="408" spans="1:14" x14ac:dyDescent="0.25">
      <c r="A408">
        <v>2016</v>
      </c>
      <c r="B408" s="14" t="s">
        <v>138</v>
      </c>
      <c r="C408" t="s">
        <v>179</v>
      </c>
      <c r="D408" t="s">
        <v>185</v>
      </c>
      <c r="E408">
        <v>2</v>
      </c>
      <c r="F408" s="17" t="s">
        <v>211</v>
      </c>
      <c r="G408" s="33" t="s">
        <v>233</v>
      </c>
      <c r="H408" t="s">
        <v>233</v>
      </c>
      <c r="I408" s="14" t="s">
        <v>233</v>
      </c>
      <c r="J408" s="14" t="s">
        <v>234</v>
      </c>
      <c r="K408" s="14" t="s">
        <v>233</v>
      </c>
      <c r="L408" s="14" t="s">
        <v>234</v>
      </c>
      <c r="M408" s="14">
        <v>42895</v>
      </c>
      <c r="N408" s="14" t="str">
        <f t="shared" si="16"/>
        <v>2017</v>
      </c>
    </row>
    <row r="409" spans="1:14" x14ac:dyDescent="0.25">
      <c r="A409">
        <v>2016</v>
      </c>
      <c r="B409" s="14" t="s">
        <v>138</v>
      </c>
      <c r="C409" t="s">
        <v>179</v>
      </c>
      <c r="D409" t="s">
        <v>189</v>
      </c>
      <c r="E409">
        <v>2</v>
      </c>
      <c r="F409" s="17" t="s">
        <v>211</v>
      </c>
      <c r="G409" s="33" t="s">
        <v>233</v>
      </c>
      <c r="H409" t="s">
        <v>233</v>
      </c>
      <c r="I409" s="14" t="s">
        <v>233</v>
      </c>
      <c r="J409" s="14" t="s">
        <v>234</v>
      </c>
      <c r="K409" s="14" t="s">
        <v>233</v>
      </c>
      <c r="L409" s="14" t="s">
        <v>234</v>
      </c>
      <c r="M409" s="14">
        <v>42891</v>
      </c>
      <c r="N409" s="14" t="str">
        <f t="shared" si="16"/>
        <v>2017</v>
      </c>
    </row>
    <row r="410" spans="1:14" x14ac:dyDescent="0.25">
      <c r="A410">
        <v>2016</v>
      </c>
      <c r="B410" s="14" t="s">
        <v>138</v>
      </c>
      <c r="C410" t="s">
        <v>179</v>
      </c>
      <c r="D410" t="s">
        <v>183</v>
      </c>
      <c r="E410">
        <v>2</v>
      </c>
      <c r="F410" s="17" t="s">
        <v>211</v>
      </c>
      <c r="G410" s="33" t="s">
        <v>233</v>
      </c>
      <c r="H410" t="s">
        <v>233</v>
      </c>
      <c r="I410" s="14" t="s">
        <v>233</v>
      </c>
      <c r="J410" s="14" t="s">
        <v>233</v>
      </c>
      <c r="K410" s="14" t="s">
        <v>233</v>
      </c>
      <c r="L410" s="14" t="s">
        <v>234</v>
      </c>
      <c r="M410" s="14">
        <v>42888</v>
      </c>
      <c r="N410" s="14" t="str">
        <f t="shared" si="16"/>
        <v>2017</v>
      </c>
    </row>
    <row r="411" spans="1:14" x14ac:dyDescent="0.25">
      <c r="A411">
        <v>2016</v>
      </c>
      <c r="B411" s="14" t="s">
        <v>138</v>
      </c>
      <c r="C411" t="s">
        <v>179</v>
      </c>
      <c r="D411" t="s">
        <v>186</v>
      </c>
      <c r="E411">
        <v>0</v>
      </c>
      <c r="F411" s="17" t="s">
        <v>211</v>
      </c>
      <c r="G411" s="33" t="s">
        <v>233</v>
      </c>
      <c r="H411" t="s">
        <v>233</v>
      </c>
      <c r="I411" s="14" t="s">
        <v>233</v>
      </c>
      <c r="J411" s="14" t="s">
        <v>234</v>
      </c>
      <c r="K411" s="14" t="s">
        <v>233</v>
      </c>
      <c r="L411" s="14" t="s">
        <v>234</v>
      </c>
      <c r="M411" s="14">
        <v>42828</v>
      </c>
      <c r="N411" s="14" t="str">
        <f t="shared" si="16"/>
        <v>2017</v>
      </c>
    </row>
    <row r="412" spans="1:14" x14ac:dyDescent="0.25">
      <c r="A412">
        <v>2016</v>
      </c>
      <c r="B412" s="14" t="s">
        <v>138</v>
      </c>
      <c r="C412" t="s">
        <v>179</v>
      </c>
      <c r="D412" t="s">
        <v>191</v>
      </c>
      <c r="E412">
        <v>2</v>
      </c>
      <c r="F412" s="17" t="s">
        <v>215</v>
      </c>
      <c r="G412" s="33" t="s">
        <v>233</v>
      </c>
      <c r="H412" t="s">
        <v>233</v>
      </c>
      <c r="I412" s="14" t="s">
        <v>233</v>
      </c>
      <c r="J412" s="14" t="s">
        <v>234</v>
      </c>
      <c r="K412" s="14" t="s">
        <v>234</v>
      </c>
      <c r="L412" s="14" t="s">
        <v>234</v>
      </c>
      <c r="M412" s="14">
        <v>42818</v>
      </c>
      <c r="N412" s="14" t="str">
        <f t="shared" si="16"/>
        <v>2017</v>
      </c>
    </row>
    <row r="413" spans="1:14" x14ac:dyDescent="0.25">
      <c r="A413">
        <v>2016</v>
      </c>
      <c r="B413" s="14" t="s">
        <v>138</v>
      </c>
      <c r="C413" t="s">
        <v>179</v>
      </c>
      <c r="D413" t="s">
        <v>180</v>
      </c>
      <c r="E413">
        <v>0</v>
      </c>
      <c r="F413" s="17" t="s">
        <v>215</v>
      </c>
      <c r="G413" s="33" t="s">
        <v>233</v>
      </c>
      <c r="H413" t="s">
        <v>233</v>
      </c>
      <c r="I413" s="14" t="s">
        <v>233</v>
      </c>
      <c r="J413" s="14" t="s">
        <v>234</v>
      </c>
      <c r="K413" s="14" t="s">
        <v>233</v>
      </c>
      <c r="L413" s="14" t="s">
        <v>234</v>
      </c>
      <c r="M413" s="14">
        <v>42808</v>
      </c>
      <c r="N413" s="14" t="str">
        <f t="shared" si="16"/>
        <v>2017</v>
      </c>
    </row>
    <row r="414" spans="1:14" x14ac:dyDescent="0.25">
      <c r="A414">
        <v>2016</v>
      </c>
      <c r="B414" s="14" t="s">
        <v>138</v>
      </c>
      <c r="C414" t="s">
        <v>179</v>
      </c>
      <c r="D414" t="s">
        <v>186</v>
      </c>
      <c r="E414">
        <v>2</v>
      </c>
      <c r="F414" s="17" t="s">
        <v>215</v>
      </c>
      <c r="G414" s="33" t="s">
        <v>233</v>
      </c>
      <c r="H414" t="s">
        <v>233</v>
      </c>
      <c r="I414" s="14" t="s">
        <v>233</v>
      </c>
      <c r="J414" s="14" t="s">
        <v>234</v>
      </c>
      <c r="K414" s="14" t="s">
        <v>233</v>
      </c>
      <c r="L414" s="14" t="s">
        <v>234</v>
      </c>
      <c r="M414" s="14">
        <v>42804</v>
      </c>
      <c r="N414" s="14" t="str">
        <f t="shared" si="16"/>
        <v>2017</v>
      </c>
    </row>
    <row r="415" spans="1:14" x14ac:dyDescent="0.25">
      <c r="A415">
        <v>2016</v>
      </c>
      <c r="B415" s="14" t="s">
        <v>138</v>
      </c>
      <c r="C415" t="s">
        <v>179</v>
      </c>
      <c r="D415" t="s">
        <v>181</v>
      </c>
      <c r="E415">
        <v>2</v>
      </c>
      <c r="F415" s="17" t="s">
        <v>211</v>
      </c>
      <c r="G415" s="33" t="s">
        <v>233</v>
      </c>
      <c r="H415" t="s">
        <v>233</v>
      </c>
      <c r="I415" s="14" t="s">
        <v>233</v>
      </c>
      <c r="J415" s="14" t="s">
        <v>234</v>
      </c>
      <c r="K415" s="14" t="s">
        <v>233</v>
      </c>
      <c r="L415" s="14" t="s">
        <v>234</v>
      </c>
      <c r="M415" s="14">
        <v>42774</v>
      </c>
      <c r="N415" s="14" t="str">
        <f t="shared" si="16"/>
        <v>2017</v>
      </c>
    </row>
    <row r="416" spans="1:14" x14ac:dyDescent="0.25">
      <c r="A416">
        <v>2016</v>
      </c>
      <c r="B416" s="14" t="s">
        <v>138</v>
      </c>
      <c r="C416" t="s">
        <v>179</v>
      </c>
      <c r="D416" t="s">
        <v>181</v>
      </c>
      <c r="E416">
        <v>0</v>
      </c>
      <c r="F416" s="17" t="s">
        <v>211</v>
      </c>
      <c r="G416" s="33" t="s">
        <v>233</v>
      </c>
      <c r="H416" t="s">
        <v>233</v>
      </c>
      <c r="I416" s="14" t="s">
        <v>233</v>
      </c>
      <c r="J416" s="14" t="s">
        <v>234</v>
      </c>
      <c r="K416" s="14" t="s">
        <v>233</v>
      </c>
      <c r="L416" s="14" t="s">
        <v>234</v>
      </c>
      <c r="M416" s="14">
        <v>42744</v>
      </c>
      <c r="N416" s="14" t="str">
        <f t="shared" si="16"/>
        <v>2017</v>
      </c>
    </row>
    <row r="417" spans="1:46" x14ac:dyDescent="0.25">
      <c r="A417">
        <v>2016</v>
      </c>
      <c r="B417" s="14" t="s">
        <v>138</v>
      </c>
      <c r="C417" t="s">
        <v>179</v>
      </c>
      <c r="D417" t="s">
        <v>180</v>
      </c>
      <c r="E417">
        <v>0</v>
      </c>
      <c r="F417" s="17" t="s">
        <v>211</v>
      </c>
      <c r="G417" s="33" t="s">
        <v>233</v>
      </c>
      <c r="H417" t="s">
        <v>233</v>
      </c>
      <c r="I417" s="14" t="s">
        <v>233</v>
      </c>
      <c r="J417" s="14" t="s">
        <v>234</v>
      </c>
      <c r="K417" s="14" t="s">
        <v>234</v>
      </c>
      <c r="L417" s="14" t="s">
        <v>234</v>
      </c>
      <c r="M417" s="14">
        <v>42725</v>
      </c>
      <c r="N417" s="14" t="str">
        <f t="shared" si="16"/>
        <v>2016</v>
      </c>
    </row>
    <row r="418" spans="1:46" x14ac:dyDescent="0.25">
      <c r="A418">
        <v>2016</v>
      </c>
      <c r="B418" s="14" t="s">
        <v>138</v>
      </c>
      <c r="C418" t="s">
        <v>179</v>
      </c>
      <c r="D418" t="s">
        <v>181</v>
      </c>
      <c r="E418">
        <v>1</v>
      </c>
      <c r="F418" s="17" t="s">
        <v>215</v>
      </c>
      <c r="G418" s="33" t="s">
        <v>233</v>
      </c>
      <c r="H418" t="s">
        <v>233</v>
      </c>
      <c r="I418" s="14" t="s">
        <v>233</v>
      </c>
      <c r="J418" s="14" t="s">
        <v>233</v>
      </c>
      <c r="K418" s="14" t="s">
        <v>234</v>
      </c>
      <c r="L418" s="14" t="s">
        <v>234</v>
      </c>
      <c r="M418" s="14">
        <v>42717</v>
      </c>
      <c r="N418" s="14" t="str">
        <f t="shared" si="16"/>
        <v>2016</v>
      </c>
    </row>
    <row r="419" spans="1:46" x14ac:dyDescent="0.25">
      <c r="A419">
        <v>2016</v>
      </c>
      <c r="B419" s="14" t="s">
        <v>138</v>
      </c>
      <c r="C419" t="s">
        <v>179</v>
      </c>
      <c r="D419" t="s">
        <v>180</v>
      </c>
      <c r="E419">
        <v>1</v>
      </c>
      <c r="F419" s="17" t="s">
        <v>215</v>
      </c>
      <c r="G419" s="33" t="s">
        <v>233</v>
      </c>
      <c r="H419" t="s">
        <v>233</v>
      </c>
      <c r="I419" s="14" t="s">
        <v>233</v>
      </c>
      <c r="J419" s="14" t="s">
        <v>234</v>
      </c>
      <c r="K419" s="14" t="s">
        <v>233</v>
      </c>
      <c r="L419" s="14" t="s">
        <v>234</v>
      </c>
      <c r="M419" s="14">
        <v>42706</v>
      </c>
      <c r="N419" s="14" t="str">
        <f t="shared" si="16"/>
        <v>2016</v>
      </c>
    </row>
    <row r="420" spans="1:46" x14ac:dyDescent="0.25">
      <c r="A420">
        <v>2016</v>
      </c>
      <c r="B420" s="14" t="s">
        <v>138</v>
      </c>
      <c r="C420" t="s">
        <v>179</v>
      </c>
      <c r="D420" t="s">
        <v>189</v>
      </c>
      <c r="E420">
        <v>1</v>
      </c>
      <c r="F420" s="17" t="s">
        <v>211</v>
      </c>
      <c r="G420" s="33" t="s">
        <v>233</v>
      </c>
      <c r="H420" t="s">
        <v>233</v>
      </c>
      <c r="I420" s="14" t="s">
        <v>233</v>
      </c>
      <c r="J420" s="14" t="s">
        <v>234</v>
      </c>
      <c r="K420" s="14" t="s">
        <v>233</v>
      </c>
      <c r="L420" s="14" t="s">
        <v>234</v>
      </c>
      <c r="M420" s="14">
        <v>42684</v>
      </c>
      <c r="N420" s="14" t="str">
        <f t="shared" si="16"/>
        <v>2016</v>
      </c>
    </row>
    <row r="421" spans="1:46" x14ac:dyDescent="0.25">
      <c r="A421">
        <v>2015</v>
      </c>
      <c r="B421" s="14" t="s">
        <v>138</v>
      </c>
      <c r="C421" t="s">
        <v>179</v>
      </c>
      <c r="D421" t="s">
        <v>180</v>
      </c>
      <c r="E421">
        <v>3</v>
      </c>
      <c r="F421" s="17" t="s">
        <v>215</v>
      </c>
      <c r="G421" s="33" t="s">
        <v>233</v>
      </c>
      <c r="H421" t="s">
        <v>233</v>
      </c>
      <c r="I421" s="14" t="s">
        <v>234</v>
      </c>
      <c r="J421" s="14" t="s">
        <v>234</v>
      </c>
      <c r="K421" s="14" t="s">
        <v>233</v>
      </c>
      <c r="L421" s="14" t="s">
        <v>234</v>
      </c>
      <c r="M421" s="14">
        <v>42550</v>
      </c>
      <c r="N421" s="14" t="str">
        <f t="shared" si="16"/>
        <v>2016</v>
      </c>
    </row>
    <row r="422" spans="1:46" x14ac:dyDescent="0.25">
      <c r="A422">
        <v>2015</v>
      </c>
      <c r="B422" s="14" t="s">
        <v>138</v>
      </c>
      <c r="C422" t="s">
        <v>179</v>
      </c>
      <c r="D422" t="s">
        <v>189</v>
      </c>
      <c r="E422">
        <v>19</v>
      </c>
      <c r="F422" s="17" t="s">
        <v>211</v>
      </c>
      <c r="G422" s="33" t="s">
        <v>233</v>
      </c>
      <c r="H422" t="s">
        <v>233</v>
      </c>
      <c r="I422" s="14" t="s">
        <v>233</v>
      </c>
      <c r="J422" s="14" t="s">
        <v>234</v>
      </c>
      <c r="K422" s="14" t="s">
        <v>233</v>
      </c>
      <c r="L422" s="14" t="s">
        <v>234</v>
      </c>
      <c r="M422" s="14">
        <v>42433</v>
      </c>
      <c r="N422" s="14" t="str">
        <f t="shared" si="16"/>
        <v>2016</v>
      </c>
    </row>
    <row r="423" spans="1:46" x14ac:dyDescent="0.25">
      <c r="A423">
        <v>2015</v>
      </c>
      <c r="B423" s="14" t="s">
        <v>138</v>
      </c>
      <c r="C423" t="s">
        <v>179</v>
      </c>
      <c r="D423" t="s">
        <v>189</v>
      </c>
      <c r="E423">
        <v>13</v>
      </c>
      <c r="F423" s="17" t="s">
        <v>211</v>
      </c>
      <c r="G423" s="33" t="s">
        <v>233</v>
      </c>
      <c r="H423" t="s">
        <v>233</v>
      </c>
      <c r="I423" s="14" t="s">
        <v>233</v>
      </c>
      <c r="J423" s="14" t="s">
        <v>234</v>
      </c>
      <c r="K423" s="14" t="s">
        <v>233</v>
      </c>
      <c r="L423" s="14" t="s">
        <v>234</v>
      </c>
      <c r="M423" s="14">
        <v>42377</v>
      </c>
      <c r="N423" s="14" t="str">
        <f t="shared" si="16"/>
        <v>2016</v>
      </c>
    </row>
    <row r="424" spans="1:46" x14ac:dyDescent="0.25">
      <c r="A424">
        <v>2017</v>
      </c>
      <c r="B424" s="14" t="s">
        <v>138</v>
      </c>
      <c r="C424" t="s">
        <v>192</v>
      </c>
      <c r="D424" t="s">
        <v>193</v>
      </c>
      <c r="E424">
        <v>0</v>
      </c>
      <c r="F424" s="17" t="s">
        <v>215</v>
      </c>
      <c r="G424" s="33" t="s">
        <v>233</v>
      </c>
      <c r="H424" t="s">
        <v>233</v>
      </c>
      <c r="I424" s="14" t="s">
        <v>234</v>
      </c>
      <c r="J424" s="14" t="s">
        <v>233</v>
      </c>
      <c r="K424" s="14" t="s">
        <v>233</v>
      </c>
      <c r="L424" s="14" t="s">
        <v>233</v>
      </c>
      <c r="M424" s="14">
        <v>43241</v>
      </c>
      <c r="N424" s="14" t="str">
        <f t="shared" si="16"/>
        <v>2018</v>
      </c>
    </row>
    <row r="425" spans="1:46" x14ac:dyDescent="0.25">
      <c r="A425">
        <v>2017</v>
      </c>
      <c r="B425" s="14" t="s">
        <v>138</v>
      </c>
      <c r="C425" t="s">
        <v>192</v>
      </c>
      <c r="D425" t="s">
        <v>194</v>
      </c>
      <c r="E425">
        <v>1</v>
      </c>
      <c r="F425" s="17" t="s">
        <v>215</v>
      </c>
      <c r="G425" s="33" t="s">
        <v>233</v>
      </c>
      <c r="H425" t="s">
        <v>233</v>
      </c>
      <c r="I425" s="14" t="s">
        <v>233</v>
      </c>
      <c r="J425" s="14" t="s">
        <v>234</v>
      </c>
      <c r="K425" s="14" t="s">
        <v>234</v>
      </c>
      <c r="L425" s="14" t="s">
        <v>234</v>
      </c>
      <c r="M425" s="14">
        <v>43168</v>
      </c>
      <c r="N425" s="14" t="str">
        <f t="shared" si="16"/>
        <v>2018</v>
      </c>
    </row>
    <row r="426" spans="1:46" x14ac:dyDescent="0.25">
      <c r="A426">
        <v>2017</v>
      </c>
      <c r="B426" s="14" t="s">
        <v>138</v>
      </c>
      <c r="C426" t="s">
        <v>192</v>
      </c>
      <c r="D426" t="s">
        <v>195</v>
      </c>
      <c r="E426">
        <v>1</v>
      </c>
      <c r="F426" s="17" t="s">
        <v>215</v>
      </c>
      <c r="G426" s="33" t="s">
        <v>234</v>
      </c>
      <c r="H426" t="s">
        <v>233</v>
      </c>
      <c r="I426" s="14" t="s">
        <v>234</v>
      </c>
      <c r="J426" s="14" t="s">
        <v>233</v>
      </c>
      <c r="K426" s="14" t="s">
        <v>234</v>
      </c>
      <c r="L426" s="14" t="s">
        <v>234</v>
      </c>
      <c r="M426" s="14">
        <v>43126</v>
      </c>
      <c r="N426" s="14" t="str">
        <f t="shared" si="16"/>
        <v>2018</v>
      </c>
    </row>
    <row r="427" spans="1:46" x14ac:dyDescent="0.25">
      <c r="A427">
        <v>2017</v>
      </c>
      <c r="B427" s="14" t="s">
        <v>138</v>
      </c>
      <c r="C427" t="s">
        <v>192</v>
      </c>
      <c r="D427" t="s">
        <v>196</v>
      </c>
      <c r="E427">
        <v>1</v>
      </c>
      <c r="F427" s="17" t="s">
        <v>215</v>
      </c>
      <c r="G427" s="33" t="s">
        <v>233</v>
      </c>
      <c r="H427" t="s">
        <v>233</v>
      </c>
      <c r="I427" s="14" t="s">
        <v>234</v>
      </c>
      <c r="J427" s="14" t="s">
        <v>234</v>
      </c>
      <c r="K427" s="14" t="s">
        <v>234</v>
      </c>
      <c r="L427" s="14" t="s">
        <v>234</v>
      </c>
      <c r="M427" s="14">
        <v>43109</v>
      </c>
      <c r="N427" s="14" t="str">
        <f t="shared" si="16"/>
        <v>2018</v>
      </c>
    </row>
    <row r="428" spans="1:46" x14ac:dyDescent="0.25">
      <c r="A428">
        <v>2017</v>
      </c>
      <c r="B428" s="14" t="s">
        <v>138</v>
      </c>
      <c r="C428" t="s">
        <v>192</v>
      </c>
      <c r="D428" t="s">
        <v>194</v>
      </c>
      <c r="E428">
        <v>2</v>
      </c>
      <c r="F428" s="17" t="s">
        <v>215</v>
      </c>
      <c r="G428" s="33" t="s">
        <v>233</v>
      </c>
      <c r="H428" t="s">
        <v>233</v>
      </c>
      <c r="I428" s="14" t="s">
        <v>234</v>
      </c>
      <c r="J428" s="14" t="s">
        <v>234</v>
      </c>
      <c r="K428" s="14" t="s">
        <v>234</v>
      </c>
      <c r="L428" s="14" t="s">
        <v>234</v>
      </c>
      <c r="M428" s="14">
        <v>43109</v>
      </c>
      <c r="N428" s="14" t="str">
        <f t="shared" si="16"/>
        <v>2018</v>
      </c>
      <c r="U428" s="31"/>
      <c r="W428"/>
      <c r="X428" s="31"/>
      <c r="Z428"/>
      <c r="AC428" s="31"/>
      <c r="AE428"/>
      <c r="AI428" s="20"/>
      <c r="AJ428"/>
      <c r="AK428"/>
      <c r="AL428" s="20"/>
      <c r="AM428" s="20"/>
      <c r="AN428" s="20"/>
      <c r="AO428"/>
      <c r="AP428"/>
      <c r="AT428"/>
    </row>
    <row r="429" spans="1:46" x14ac:dyDescent="0.25">
      <c r="A429">
        <v>2017</v>
      </c>
      <c r="B429" s="14" t="s">
        <v>138</v>
      </c>
      <c r="C429" t="s">
        <v>192</v>
      </c>
      <c r="D429" t="s">
        <v>194</v>
      </c>
      <c r="E429">
        <v>0</v>
      </c>
      <c r="F429" s="17" t="s">
        <v>215</v>
      </c>
      <c r="G429" s="33" t="s">
        <v>233</v>
      </c>
      <c r="H429" t="s">
        <v>233</v>
      </c>
      <c r="I429" s="14" t="s">
        <v>233</v>
      </c>
      <c r="J429" s="14" t="s">
        <v>234</v>
      </c>
      <c r="K429" s="14" t="s">
        <v>233</v>
      </c>
      <c r="L429" s="14" t="s">
        <v>234</v>
      </c>
      <c r="M429" s="14">
        <v>43084</v>
      </c>
      <c r="N429" s="14" t="str">
        <f t="shared" si="16"/>
        <v>2017</v>
      </c>
      <c r="U429" s="31"/>
      <c r="W429"/>
      <c r="X429" s="31"/>
      <c r="Z429"/>
      <c r="AC429" s="31"/>
      <c r="AE429"/>
      <c r="AI429" s="20"/>
      <c r="AJ429"/>
      <c r="AK429"/>
      <c r="AL429" s="20"/>
      <c r="AM429" s="20"/>
      <c r="AN429" s="20"/>
      <c r="AO429"/>
      <c r="AP429"/>
      <c r="AT429"/>
    </row>
    <row r="430" spans="1:46" x14ac:dyDescent="0.25">
      <c r="A430">
        <v>2017</v>
      </c>
      <c r="B430" s="14" t="s">
        <v>138</v>
      </c>
      <c r="C430" t="s">
        <v>192</v>
      </c>
      <c r="D430" t="s">
        <v>195</v>
      </c>
      <c r="E430">
        <v>0</v>
      </c>
      <c r="F430" s="17" t="s">
        <v>215</v>
      </c>
      <c r="G430" s="33" t="s">
        <v>233</v>
      </c>
      <c r="H430" t="s">
        <v>233</v>
      </c>
      <c r="I430" s="14" t="s">
        <v>234</v>
      </c>
      <c r="J430" s="14" t="s">
        <v>233</v>
      </c>
      <c r="K430" s="14" t="s">
        <v>234</v>
      </c>
      <c r="L430" s="14" t="s">
        <v>234</v>
      </c>
      <c r="M430" s="14">
        <v>43070</v>
      </c>
      <c r="N430" s="14" t="str">
        <f t="shared" si="16"/>
        <v>2017</v>
      </c>
      <c r="U430" s="31"/>
      <c r="W430"/>
      <c r="X430" s="31"/>
      <c r="Z430"/>
      <c r="AC430" s="31"/>
      <c r="AE430"/>
      <c r="AI430" s="20"/>
      <c r="AJ430"/>
      <c r="AK430"/>
      <c r="AL430" s="20"/>
      <c r="AM430" s="20"/>
      <c r="AN430" s="20"/>
      <c r="AO430"/>
      <c r="AP430"/>
      <c r="AT430"/>
    </row>
    <row r="431" spans="1:46" x14ac:dyDescent="0.25">
      <c r="A431">
        <v>2017</v>
      </c>
      <c r="B431" s="14" t="s">
        <v>138</v>
      </c>
      <c r="C431" t="s">
        <v>192</v>
      </c>
      <c r="D431" t="s">
        <v>194</v>
      </c>
      <c r="E431">
        <v>0</v>
      </c>
      <c r="F431" s="17" t="s">
        <v>215</v>
      </c>
      <c r="G431" s="33" t="s">
        <v>233</v>
      </c>
      <c r="H431" t="s">
        <v>233</v>
      </c>
      <c r="I431" s="14" t="s">
        <v>233</v>
      </c>
      <c r="J431" s="14" t="s">
        <v>234</v>
      </c>
      <c r="K431" s="14" t="s">
        <v>233</v>
      </c>
      <c r="L431" s="14" t="s">
        <v>234</v>
      </c>
      <c r="M431" s="14">
        <v>43063</v>
      </c>
      <c r="N431" s="14" t="str">
        <f t="shared" si="16"/>
        <v>2017</v>
      </c>
      <c r="U431" s="31"/>
      <c r="W431"/>
      <c r="X431" s="31"/>
      <c r="Z431"/>
      <c r="AC431" s="31"/>
      <c r="AE431"/>
      <c r="AI431" s="20"/>
      <c r="AJ431"/>
      <c r="AK431"/>
      <c r="AL431" s="20"/>
      <c r="AM431" s="20"/>
      <c r="AN431" s="20"/>
      <c r="AO431"/>
      <c r="AP431"/>
      <c r="AT431"/>
    </row>
    <row r="432" spans="1:46" x14ac:dyDescent="0.25">
      <c r="A432">
        <v>2017</v>
      </c>
      <c r="B432" s="14" t="s">
        <v>138</v>
      </c>
      <c r="C432" t="s">
        <v>192</v>
      </c>
      <c r="D432" t="s">
        <v>197</v>
      </c>
      <c r="E432">
        <v>0</v>
      </c>
      <c r="F432" s="17" t="s">
        <v>215</v>
      </c>
      <c r="G432" s="33" t="s">
        <v>233</v>
      </c>
      <c r="H432" t="s">
        <v>233</v>
      </c>
      <c r="I432" s="14" t="s">
        <v>233</v>
      </c>
      <c r="J432" s="14" t="s">
        <v>234</v>
      </c>
      <c r="K432" s="14" t="s">
        <v>233</v>
      </c>
      <c r="L432" s="14" t="s">
        <v>234</v>
      </c>
      <c r="M432" s="14">
        <v>43038</v>
      </c>
      <c r="N432" s="14" t="str">
        <f t="shared" si="16"/>
        <v>2017</v>
      </c>
      <c r="U432" s="31"/>
      <c r="W432"/>
      <c r="X432" s="31"/>
      <c r="Z432"/>
      <c r="AC432" s="31"/>
      <c r="AE432"/>
      <c r="AI432" s="20"/>
      <c r="AJ432"/>
      <c r="AK432"/>
      <c r="AL432" s="20"/>
      <c r="AM432" s="20"/>
      <c r="AN432" s="20"/>
      <c r="AO432"/>
      <c r="AP432"/>
      <c r="AT432"/>
    </row>
    <row r="433" spans="1:46" x14ac:dyDescent="0.25">
      <c r="A433">
        <v>2016</v>
      </c>
      <c r="B433" s="14" t="s">
        <v>138</v>
      </c>
      <c r="C433" t="s">
        <v>192</v>
      </c>
      <c r="D433" t="s">
        <v>198</v>
      </c>
      <c r="E433">
        <v>1</v>
      </c>
      <c r="F433" s="17" t="s">
        <v>211</v>
      </c>
      <c r="G433" s="33" t="s">
        <v>233</v>
      </c>
      <c r="H433" t="s">
        <v>233</v>
      </c>
      <c r="I433" s="14" t="s">
        <v>234</v>
      </c>
      <c r="J433" s="14" t="s">
        <v>234</v>
      </c>
      <c r="K433" s="14" t="s">
        <v>233</v>
      </c>
      <c r="L433" s="14" t="s">
        <v>234</v>
      </c>
      <c r="M433" s="14">
        <v>42993</v>
      </c>
      <c r="N433" s="14" t="str">
        <f t="shared" si="16"/>
        <v>2017</v>
      </c>
      <c r="U433" s="31"/>
      <c r="W433"/>
      <c r="X433" s="31"/>
      <c r="Z433"/>
      <c r="AC433" s="31"/>
      <c r="AE433"/>
      <c r="AI433" s="20"/>
      <c r="AJ433"/>
      <c r="AK433"/>
      <c r="AL433" s="20"/>
      <c r="AM433" s="20"/>
      <c r="AN433" s="20"/>
      <c r="AO433"/>
      <c r="AP433"/>
      <c r="AT433"/>
    </row>
    <row r="434" spans="1:46" x14ac:dyDescent="0.25">
      <c r="A434">
        <v>2016</v>
      </c>
      <c r="B434" s="14" t="s">
        <v>138</v>
      </c>
      <c r="C434" t="s">
        <v>192</v>
      </c>
      <c r="D434" t="s">
        <v>194</v>
      </c>
      <c r="E434">
        <v>1</v>
      </c>
      <c r="F434" s="17" t="s">
        <v>215</v>
      </c>
      <c r="G434" s="33" t="s">
        <v>233</v>
      </c>
      <c r="H434" t="s">
        <v>233</v>
      </c>
      <c r="I434" s="14" t="s">
        <v>233</v>
      </c>
      <c r="J434" s="14" t="s">
        <v>233</v>
      </c>
      <c r="K434" s="14" t="s">
        <v>233</v>
      </c>
      <c r="L434" s="14" t="s">
        <v>234</v>
      </c>
      <c r="M434" s="14">
        <v>42940</v>
      </c>
      <c r="N434" s="14" t="str">
        <f t="shared" si="16"/>
        <v>2017</v>
      </c>
      <c r="U434" s="31"/>
      <c r="W434"/>
      <c r="X434" s="31"/>
      <c r="Z434"/>
      <c r="AC434" s="31"/>
      <c r="AE434"/>
      <c r="AI434" s="20"/>
      <c r="AJ434"/>
      <c r="AK434"/>
      <c r="AL434" s="20"/>
      <c r="AM434" s="20"/>
      <c r="AN434" s="20"/>
      <c r="AO434"/>
      <c r="AP434"/>
      <c r="AT434"/>
    </row>
    <row r="435" spans="1:46" x14ac:dyDescent="0.25">
      <c r="A435">
        <v>2016</v>
      </c>
      <c r="B435" s="14" t="s">
        <v>138</v>
      </c>
      <c r="C435" t="s">
        <v>192</v>
      </c>
      <c r="D435" t="s">
        <v>199</v>
      </c>
      <c r="E435">
        <v>1</v>
      </c>
      <c r="F435" s="17" t="s">
        <v>215</v>
      </c>
      <c r="G435" s="33" t="s">
        <v>233</v>
      </c>
      <c r="H435" t="s">
        <v>233</v>
      </c>
      <c r="I435" s="14" t="s">
        <v>233</v>
      </c>
      <c r="J435" s="14" t="s">
        <v>234</v>
      </c>
      <c r="K435" s="14" t="s">
        <v>233</v>
      </c>
      <c r="L435" s="14" t="s">
        <v>234</v>
      </c>
      <c r="M435" s="14">
        <v>42923</v>
      </c>
      <c r="N435" s="14" t="str">
        <f t="shared" si="16"/>
        <v>2017</v>
      </c>
      <c r="U435" s="31"/>
      <c r="W435"/>
      <c r="X435" s="31"/>
      <c r="Z435"/>
      <c r="AC435" s="31"/>
      <c r="AE435"/>
      <c r="AI435" s="20"/>
      <c r="AJ435"/>
      <c r="AK435"/>
      <c r="AL435" s="20"/>
      <c r="AM435" s="20"/>
      <c r="AN435" s="20"/>
      <c r="AO435"/>
      <c r="AP435"/>
      <c r="AT435"/>
    </row>
    <row r="436" spans="1:46" x14ac:dyDescent="0.25">
      <c r="A436">
        <v>2016</v>
      </c>
      <c r="B436" s="14" t="s">
        <v>138</v>
      </c>
      <c r="C436" t="s">
        <v>192</v>
      </c>
      <c r="D436" t="s">
        <v>199</v>
      </c>
      <c r="E436">
        <v>0</v>
      </c>
      <c r="F436" s="17" t="s">
        <v>211</v>
      </c>
      <c r="G436" s="33" t="s">
        <v>233</v>
      </c>
      <c r="H436" t="s">
        <v>233</v>
      </c>
      <c r="I436" s="14" t="s">
        <v>233</v>
      </c>
      <c r="J436" s="14" t="s">
        <v>234</v>
      </c>
      <c r="K436" s="14" t="s">
        <v>234</v>
      </c>
      <c r="L436" s="14" t="s">
        <v>234</v>
      </c>
      <c r="M436" s="14">
        <v>42818</v>
      </c>
      <c r="N436" s="14" t="str">
        <f t="shared" si="16"/>
        <v>2017</v>
      </c>
      <c r="U436" s="31"/>
      <c r="W436"/>
      <c r="X436" s="31"/>
      <c r="Z436"/>
      <c r="AC436" s="31"/>
      <c r="AE436"/>
      <c r="AI436" s="20"/>
      <c r="AJ436"/>
      <c r="AK436"/>
      <c r="AL436" s="20"/>
      <c r="AM436" s="20"/>
      <c r="AN436" s="20"/>
      <c r="AO436"/>
      <c r="AP436"/>
      <c r="AT436"/>
    </row>
    <row r="437" spans="1:46" x14ac:dyDescent="0.25">
      <c r="A437">
        <v>2016</v>
      </c>
      <c r="B437" s="14" t="s">
        <v>138</v>
      </c>
      <c r="C437" t="s">
        <v>192</v>
      </c>
      <c r="D437" t="s">
        <v>200</v>
      </c>
      <c r="E437">
        <v>1</v>
      </c>
      <c r="F437" s="17" t="s">
        <v>211</v>
      </c>
      <c r="G437" s="33" t="s">
        <v>233</v>
      </c>
      <c r="H437" t="s">
        <v>233</v>
      </c>
      <c r="I437" s="14" t="s">
        <v>233</v>
      </c>
      <c r="J437" s="14" t="s">
        <v>233</v>
      </c>
      <c r="K437" s="14" t="s">
        <v>234</v>
      </c>
      <c r="L437" s="14" t="s">
        <v>234</v>
      </c>
      <c r="M437" s="14">
        <v>42804</v>
      </c>
      <c r="N437" s="14" t="str">
        <f t="shared" si="16"/>
        <v>2017</v>
      </c>
      <c r="U437" s="31"/>
      <c r="W437"/>
      <c r="X437" s="31"/>
      <c r="Z437"/>
      <c r="AC437" s="31"/>
      <c r="AE437"/>
      <c r="AI437" s="20"/>
      <c r="AJ437"/>
      <c r="AK437"/>
      <c r="AL437" s="20"/>
      <c r="AM437" s="20"/>
      <c r="AN437" s="20"/>
      <c r="AO437"/>
      <c r="AP437"/>
      <c r="AT437"/>
    </row>
    <row r="438" spans="1:46" x14ac:dyDescent="0.25">
      <c r="A438">
        <v>2016</v>
      </c>
      <c r="B438" s="14" t="s">
        <v>138</v>
      </c>
      <c r="C438" t="s">
        <v>192</v>
      </c>
      <c r="D438" t="s">
        <v>199</v>
      </c>
      <c r="E438">
        <v>0</v>
      </c>
      <c r="F438" s="17" t="s">
        <v>211</v>
      </c>
      <c r="G438" s="33" t="s">
        <v>233</v>
      </c>
      <c r="H438" t="s">
        <v>233</v>
      </c>
      <c r="I438" s="14" t="s">
        <v>233</v>
      </c>
      <c r="J438" s="14" t="s">
        <v>234</v>
      </c>
      <c r="K438" s="14" t="s">
        <v>234</v>
      </c>
      <c r="L438" s="14" t="s">
        <v>234</v>
      </c>
      <c r="M438" s="14">
        <v>42769</v>
      </c>
      <c r="N438" s="14" t="str">
        <f t="shared" si="16"/>
        <v>2017</v>
      </c>
      <c r="U438" s="31"/>
      <c r="W438"/>
      <c r="X438" s="31"/>
      <c r="Z438"/>
      <c r="AC438" s="31"/>
      <c r="AE438"/>
      <c r="AI438" s="20"/>
      <c r="AJ438"/>
      <c r="AK438"/>
      <c r="AL438" s="20"/>
      <c r="AM438" s="20"/>
      <c r="AN438" s="20"/>
      <c r="AO438"/>
      <c r="AP438"/>
      <c r="AT438"/>
    </row>
    <row r="439" spans="1:46" x14ac:dyDescent="0.25">
      <c r="A439">
        <v>2016</v>
      </c>
      <c r="B439" s="14" t="s">
        <v>138</v>
      </c>
      <c r="C439" t="s">
        <v>192</v>
      </c>
      <c r="D439" t="s">
        <v>196</v>
      </c>
      <c r="E439">
        <v>1</v>
      </c>
      <c r="F439" s="17" t="s">
        <v>215</v>
      </c>
      <c r="G439" s="33" t="s">
        <v>233</v>
      </c>
      <c r="H439" t="s">
        <v>233</v>
      </c>
      <c r="I439" s="14" t="s">
        <v>233</v>
      </c>
      <c r="J439" s="14" t="s">
        <v>234</v>
      </c>
      <c r="K439" s="14" t="s">
        <v>233</v>
      </c>
      <c r="L439" s="14" t="s">
        <v>234</v>
      </c>
      <c r="M439" s="14">
        <v>42720</v>
      </c>
      <c r="N439" s="14" t="str">
        <f t="shared" si="16"/>
        <v>2016</v>
      </c>
      <c r="U439" s="31"/>
      <c r="W439"/>
      <c r="X439" s="31"/>
      <c r="Z439"/>
      <c r="AC439" s="31"/>
      <c r="AE439"/>
      <c r="AI439" s="20"/>
      <c r="AJ439"/>
      <c r="AK439"/>
      <c r="AL439" s="20"/>
      <c r="AM439" s="20"/>
      <c r="AN439" s="20"/>
      <c r="AO439"/>
      <c r="AP439"/>
      <c r="AT439"/>
    </row>
    <row r="440" spans="1:46" x14ac:dyDescent="0.25">
      <c r="A440">
        <v>2016</v>
      </c>
      <c r="B440" s="14" t="s">
        <v>138</v>
      </c>
      <c r="C440" t="s">
        <v>192</v>
      </c>
      <c r="D440" t="s">
        <v>201</v>
      </c>
      <c r="E440">
        <v>1</v>
      </c>
      <c r="F440" s="17" t="s">
        <v>211</v>
      </c>
      <c r="G440" s="33" t="s">
        <v>233</v>
      </c>
      <c r="H440" t="s">
        <v>233</v>
      </c>
      <c r="I440" s="14" t="s">
        <v>233</v>
      </c>
      <c r="J440" s="14" t="s">
        <v>234</v>
      </c>
      <c r="K440" s="14" t="s">
        <v>233</v>
      </c>
      <c r="L440" s="14" t="s">
        <v>234</v>
      </c>
      <c r="M440" s="14">
        <v>42716</v>
      </c>
      <c r="N440" s="14" t="str">
        <f t="shared" si="16"/>
        <v>2016</v>
      </c>
      <c r="U440" s="31"/>
      <c r="W440"/>
      <c r="X440" s="31"/>
      <c r="Z440"/>
      <c r="AC440" s="31"/>
      <c r="AE440"/>
      <c r="AI440" s="20"/>
      <c r="AJ440"/>
      <c r="AK440"/>
      <c r="AL440" s="20"/>
      <c r="AM440" s="20"/>
      <c r="AN440" s="20"/>
      <c r="AO440"/>
      <c r="AP440"/>
      <c r="AT440"/>
    </row>
    <row r="441" spans="1:46" x14ac:dyDescent="0.25">
      <c r="A441">
        <v>2016</v>
      </c>
      <c r="B441" s="14" t="s">
        <v>138</v>
      </c>
      <c r="C441" t="s">
        <v>192</v>
      </c>
      <c r="D441" t="s">
        <v>195</v>
      </c>
      <c r="E441">
        <v>1</v>
      </c>
      <c r="F441" s="17" t="s">
        <v>215</v>
      </c>
      <c r="G441" s="33" t="s">
        <v>233</v>
      </c>
      <c r="H441" t="s">
        <v>233</v>
      </c>
      <c r="I441" s="14" t="s">
        <v>234</v>
      </c>
      <c r="J441" s="14" t="s">
        <v>234</v>
      </c>
      <c r="K441" s="14" t="s">
        <v>233</v>
      </c>
      <c r="L441" s="14" t="s">
        <v>234</v>
      </c>
      <c r="M441" s="14">
        <v>42703</v>
      </c>
      <c r="N441" s="14" t="str">
        <f t="shared" si="16"/>
        <v>2016</v>
      </c>
      <c r="U441" s="31"/>
      <c r="W441"/>
      <c r="X441" s="31"/>
      <c r="Z441"/>
      <c r="AC441" s="31"/>
      <c r="AE441"/>
      <c r="AI441" s="20"/>
      <c r="AJ441"/>
      <c r="AK441"/>
      <c r="AL441" s="20"/>
      <c r="AM441" s="20"/>
      <c r="AN441" s="20"/>
      <c r="AO441"/>
      <c r="AP441"/>
      <c r="AT441"/>
    </row>
    <row r="442" spans="1:46" x14ac:dyDescent="0.25">
      <c r="A442">
        <v>2015</v>
      </c>
      <c r="B442" s="14" t="s">
        <v>138</v>
      </c>
      <c r="C442" t="s">
        <v>192</v>
      </c>
      <c r="D442" t="s">
        <v>196</v>
      </c>
      <c r="E442">
        <v>5</v>
      </c>
      <c r="F442" s="17" t="s">
        <v>211</v>
      </c>
      <c r="G442" s="33" t="s">
        <v>233</v>
      </c>
      <c r="H442" t="s">
        <v>233</v>
      </c>
      <c r="I442" s="14" t="s">
        <v>234</v>
      </c>
      <c r="J442" s="14" t="s">
        <v>234</v>
      </c>
      <c r="K442" s="14" t="s">
        <v>233</v>
      </c>
      <c r="L442" s="14" t="s">
        <v>234</v>
      </c>
      <c r="M442" s="14">
        <v>42538</v>
      </c>
      <c r="N442" s="14" t="str">
        <f t="shared" si="16"/>
        <v>2016</v>
      </c>
      <c r="U442" s="31"/>
      <c r="W442"/>
      <c r="X442" s="31"/>
      <c r="Z442"/>
      <c r="AC442" s="31"/>
      <c r="AE442"/>
      <c r="AI442" s="20"/>
      <c r="AJ442"/>
      <c r="AK442"/>
      <c r="AL442" s="20"/>
      <c r="AM442" s="20"/>
      <c r="AN442" s="20"/>
      <c r="AO442"/>
      <c r="AP442"/>
      <c r="AT442"/>
    </row>
    <row r="443" spans="1:46" x14ac:dyDescent="0.25">
      <c r="A443">
        <v>2015</v>
      </c>
      <c r="B443" s="14" t="s">
        <v>138</v>
      </c>
      <c r="C443" t="s">
        <v>192</v>
      </c>
      <c r="D443" t="s">
        <v>197</v>
      </c>
      <c r="E443">
        <v>3</v>
      </c>
      <c r="F443" s="17" t="s">
        <v>211</v>
      </c>
      <c r="G443" s="33" t="s">
        <v>233</v>
      </c>
      <c r="H443" t="s">
        <v>233</v>
      </c>
      <c r="I443" s="14" t="s">
        <v>233</v>
      </c>
      <c r="J443" s="14" t="s">
        <v>234</v>
      </c>
      <c r="K443" s="14" t="s">
        <v>233</v>
      </c>
      <c r="L443" s="14" t="s">
        <v>234</v>
      </c>
      <c r="M443" s="14">
        <v>42439</v>
      </c>
      <c r="N443" s="14" t="str">
        <f t="shared" si="16"/>
        <v>2016</v>
      </c>
      <c r="U443" s="31"/>
      <c r="W443"/>
      <c r="X443" s="31"/>
      <c r="Z443"/>
      <c r="AC443" s="31"/>
      <c r="AE443"/>
      <c r="AI443" s="20"/>
      <c r="AJ443"/>
      <c r="AK443"/>
      <c r="AL443" s="20"/>
      <c r="AM443" s="20"/>
      <c r="AN443" s="20"/>
      <c r="AO443"/>
      <c r="AP443"/>
      <c r="AT443"/>
    </row>
    <row r="444" spans="1:46" x14ac:dyDescent="0.25">
      <c r="A444">
        <v>2017</v>
      </c>
      <c r="B444" s="14" t="s">
        <v>78</v>
      </c>
      <c r="C444" t="s">
        <v>132</v>
      </c>
      <c r="D444" s="14" t="s">
        <v>202</v>
      </c>
      <c r="E444">
        <v>16</v>
      </c>
      <c r="F444" t="s">
        <v>211</v>
      </c>
      <c r="G444" s="33" t="s">
        <v>233</v>
      </c>
      <c r="H444" t="s">
        <v>233</v>
      </c>
      <c r="I444" s="14" t="s">
        <v>234</v>
      </c>
      <c r="J444" s="14" t="s">
        <v>234</v>
      </c>
      <c r="K444" s="14" t="s">
        <v>234</v>
      </c>
      <c r="L444" s="14" t="s">
        <v>234</v>
      </c>
      <c r="M444" s="14">
        <v>43154</v>
      </c>
      <c r="N444" s="14" t="str">
        <f t="shared" si="16"/>
        <v>2018</v>
      </c>
      <c r="U444" s="31"/>
      <c r="W444"/>
      <c r="X444" s="31"/>
      <c r="Z444"/>
      <c r="AC444" s="31"/>
      <c r="AE444"/>
      <c r="AI444" s="20"/>
      <c r="AJ444"/>
      <c r="AK444"/>
      <c r="AL444" s="20"/>
      <c r="AM444" s="20"/>
      <c r="AN444" s="20"/>
      <c r="AO444"/>
      <c r="AP444"/>
      <c r="AT444"/>
    </row>
    <row r="445" spans="1:46" x14ac:dyDescent="0.25">
      <c r="A445">
        <v>2017</v>
      </c>
      <c r="B445" s="14" t="s">
        <v>78</v>
      </c>
      <c r="C445" t="s">
        <v>132</v>
      </c>
      <c r="D445" s="14" t="s">
        <v>133</v>
      </c>
      <c r="E445">
        <v>10</v>
      </c>
      <c r="F445" t="s">
        <v>211</v>
      </c>
      <c r="G445" s="33" t="s">
        <v>233</v>
      </c>
      <c r="H445" t="s">
        <v>234</v>
      </c>
      <c r="I445" s="14" t="s">
        <v>233</v>
      </c>
      <c r="J445" s="14" t="s">
        <v>234</v>
      </c>
      <c r="K445" s="14" t="s">
        <v>234</v>
      </c>
      <c r="L445" s="14" t="s">
        <v>234</v>
      </c>
      <c r="M445" s="14">
        <v>43119</v>
      </c>
      <c r="N445" s="14" t="str">
        <f t="shared" si="16"/>
        <v>2018</v>
      </c>
      <c r="U445" s="31"/>
      <c r="W445"/>
      <c r="X445" s="31"/>
      <c r="Z445"/>
      <c r="AC445" s="31"/>
      <c r="AE445"/>
      <c r="AI445" s="20"/>
      <c r="AJ445"/>
      <c r="AK445"/>
      <c r="AL445" s="20"/>
      <c r="AM445" s="20"/>
      <c r="AN445" s="20"/>
      <c r="AO445"/>
      <c r="AP445"/>
      <c r="AT445"/>
    </row>
    <row r="446" spans="1:46" x14ac:dyDescent="0.25">
      <c r="A446">
        <v>2017</v>
      </c>
      <c r="B446" s="14" t="s">
        <v>78</v>
      </c>
      <c r="C446" t="s">
        <v>132</v>
      </c>
      <c r="D446" s="14" t="s">
        <v>203</v>
      </c>
      <c r="E446">
        <v>3</v>
      </c>
      <c r="F446" t="s">
        <v>211</v>
      </c>
      <c r="G446" s="33" t="s">
        <v>233</v>
      </c>
      <c r="H446" t="s">
        <v>234</v>
      </c>
      <c r="I446" s="14" t="s">
        <v>233</v>
      </c>
      <c r="J446" s="14" t="s">
        <v>233</v>
      </c>
      <c r="K446" s="14" t="s">
        <v>234</v>
      </c>
      <c r="L446" s="14" t="s">
        <v>234</v>
      </c>
      <c r="M446" s="14">
        <v>43175</v>
      </c>
      <c r="N446" s="14" t="str">
        <f t="shared" si="16"/>
        <v>2018</v>
      </c>
      <c r="U446" s="31"/>
      <c r="W446"/>
      <c r="X446" s="31"/>
      <c r="Z446"/>
      <c r="AC446" s="31"/>
      <c r="AE446"/>
      <c r="AI446" s="20"/>
      <c r="AJ446"/>
      <c r="AK446"/>
      <c r="AL446" s="20"/>
      <c r="AM446" s="20"/>
      <c r="AN446" s="20"/>
      <c r="AO446"/>
      <c r="AP446"/>
      <c r="AT446"/>
    </row>
    <row r="447" spans="1:46" x14ac:dyDescent="0.25">
      <c r="A447">
        <v>2017</v>
      </c>
      <c r="B447" s="14" t="s">
        <v>78</v>
      </c>
      <c r="C447" t="s">
        <v>132</v>
      </c>
      <c r="D447" s="14" t="s">
        <v>204</v>
      </c>
      <c r="E447">
        <v>8</v>
      </c>
      <c r="F447" t="s">
        <v>211</v>
      </c>
      <c r="G447" s="33" t="s">
        <v>233</v>
      </c>
      <c r="H447" t="s">
        <v>233</v>
      </c>
      <c r="I447" s="14" t="s">
        <v>233</v>
      </c>
      <c r="J447" s="14" t="s">
        <v>233</v>
      </c>
      <c r="K447" s="14" t="s">
        <v>233</v>
      </c>
      <c r="L447" s="14" t="s">
        <v>233</v>
      </c>
      <c r="M447" s="14">
        <v>43280</v>
      </c>
      <c r="N447" s="14" t="str">
        <f t="shared" si="16"/>
        <v>2018</v>
      </c>
      <c r="U447" s="31"/>
      <c r="W447"/>
      <c r="X447" s="31"/>
      <c r="Z447"/>
      <c r="AC447" s="31"/>
      <c r="AE447"/>
      <c r="AI447" s="20"/>
      <c r="AJ447"/>
      <c r="AK447"/>
      <c r="AL447" s="20"/>
      <c r="AM447" s="20"/>
      <c r="AN447" s="20"/>
      <c r="AO447"/>
      <c r="AP447"/>
      <c r="AT447"/>
    </row>
    <row r="448" spans="1:46" x14ac:dyDescent="0.25">
      <c r="A448">
        <v>2017</v>
      </c>
      <c r="B448" s="14" t="s">
        <v>78</v>
      </c>
      <c r="C448" t="s">
        <v>132</v>
      </c>
      <c r="D448" s="14" t="s">
        <v>205</v>
      </c>
      <c r="E448">
        <v>3</v>
      </c>
      <c r="F448" t="s">
        <v>211</v>
      </c>
      <c r="G448" s="33" t="s">
        <v>233</v>
      </c>
      <c r="H448" t="s">
        <v>233</v>
      </c>
      <c r="I448" s="14" t="s">
        <v>233</v>
      </c>
      <c r="J448" s="14" t="s">
        <v>234</v>
      </c>
      <c r="K448" s="14" t="s">
        <v>234</v>
      </c>
      <c r="L448" s="14" t="s">
        <v>234</v>
      </c>
      <c r="M448" s="14">
        <v>43014</v>
      </c>
      <c r="N448" s="14" t="str">
        <f t="shared" si="16"/>
        <v>2017</v>
      </c>
      <c r="U448" s="31"/>
      <c r="W448"/>
      <c r="X448" s="31"/>
      <c r="Z448"/>
      <c r="AC448" s="31"/>
      <c r="AE448"/>
      <c r="AI448" s="20"/>
      <c r="AJ448"/>
      <c r="AK448"/>
      <c r="AL448" s="20"/>
      <c r="AM448" s="20"/>
      <c r="AN448" s="20"/>
      <c r="AO448"/>
      <c r="AP448"/>
      <c r="AT448"/>
    </row>
    <row r="449" spans="1:46" x14ac:dyDescent="0.25">
      <c r="A449">
        <v>2017</v>
      </c>
      <c r="B449" s="14" t="s">
        <v>78</v>
      </c>
      <c r="C449" t="s">
        <v>132</v>
      </c>
      <c r="D449" s="14" t="s">
        <v>202</v>
      </c>
      <c r="E449">
        <v>7</v>
      </c>
      <c r="F449" t="s">
        <v>211</v>
      </c>
      <c r="G449" s="33" t="s">
        <v>233</v>
      </c>
      <c r="H449" t="s">
        <v>233</v>
      </c>
      <c r="I449" s="14" t="s">
        <v>233</v>
      </c>
      <c r="J449" s="14" t="s">
        <v>234</v>
      </c>
      <c r="K449" s="14" t="s">
        <v>234</v>
      </c>
      <c r="L449" s="14" t="s">
        <v>234</v>
      </c>
      <c r="M449" s="14">
        <v>43055</v>
      </c>
      <c r="N449" s="14" t="str">
        <f t="shared" si="16"/>
        <v>2017</v>
      </c>
      <c r="U449" s="31"/>
      <c r="W449"/>
      <c r="X449" s="31"/>
      <c r="Z449"/>
      <c r="AC449" s="31"/>
      <c r="AE449"/>
      <c r="AI449" s="20"/>
      <c r="AJ449"/>
      <c r="AK449"/>
      <c r="AL449" s="20"/>
      <c r="AM449" s="20"/>
      <c r="AN449" s="20"/>
      <c r="AO449"/>
      <c r="AP449"/>
      <c r="AT449"/>
    </row>
    <row r="450" spans="1:46" x14ac:dyDescent="0.25">
      <c r="A450">
        <v>2017</v>
      </c>
      <c r="B450" s="14" t="s">
        <v>78</v>
      </c>
      <c r="C450" t="s">
        <v>132</v>
      </c>
      <c r="D450" s="14" t="s">
        <v>206</v>
      </c>
      <c r="E450">
        <v>4</v>
      </c>
      <c r="F450" t="s">
        <v>211</v>
      </c>
      <c r="G450" s="33" t="s">
        <v>233</v>
      </c>
      <c r="H450" t="s">
        <v>233</v>
      </c>
      <c r="I450" s="14" t="s">
        <v>233</v>
      </c>
      <c r="J450" s="14" t="s">
        <v>234</v>
      </c>
      <c r="K450" s="14" t="s">
        <v>234</v>
      </c>
      <c r="L450" s="14" t="s">
        <v>234</v>
      </c>
      <c r="M450" s="14">
        <v>43017</v>
      </c>
      <c r="N450" s="14" t="str">
        <f t="shared" si="16"/>
        <v>2017</v>
      </c>
      <c r="U450" s="31"/>
      <c r="W450"/>
      <c r="X450" s="31"/>
      <c r="Z450"/>
      <c r="AC450" s="31"/>
      <c r="AE450"/>
      <c r="AI450" s="20"/>
      <c r="AJ450"/>
      <c r="AK450"/>
      <c r="AL450" s="20"/>
      <c r="AM450" s="20"/>
      <c r="AN450" s="20"/>
      <c r="AO450"/>
      <c r="AP450"/>
      <c r="AT450"/>
    </row>
    <row r="451" spans="1:46" x14ac:dyDescent="0.25">
      <c r="A451">
        <v>2017</v>
      </c>
      <c r="B451" s="14" t="s">
        <v>78</v>
      </c>
      <c r="C451" t="s">
        <v>132</v>
      </c>
      <c r="D451" s="14" t="s">
        <v>133</v>
      </c>
      <c r="E451">
        <v>2</v>
      </c>
      <c r="F451" t="s">
        <v>215</v>
      </c>
      <c r="G451" s="33" t="s">
        <v>233</v>
      </c>
      <c r="H451" t="s">
        <v>233</v>
      </c>
      <c r="I451" s="14" t="s">
        <v>233</v>
      </c>
      <c r="J451" s="14" t="s">
        <v>234</v>
      </c>
      <c r="K451" s="14" t="s">
        <v>234</v>
      </c>
      <c r="L451" s="14" t="s">
        <v>234</v>
      </c>
      <c r="M451" s="14">
        <v>43182</v>
      </c>
      <c r="N451" s="14" t="str">
        <f t="shared" si="16"/>
        <v>2018</v>
      </c>
      <c r="U451" s="31"/>
      <c r="W451"/>
      <c r="X451" s="31"/>
      <c r="Z451"/>
      <c r="AC451" s="31"/>
      <c r="AE451"/>
      <c r="AI451" s="20"/>
      <c r="AJ451"/>
      <c r="AK451"/>
      <c r="AL451" s="20"/>
      <c r="AM451" s="20"/>
      <c r="AN451" s="20"/>
      <c r="AO451"/>
      <c r="AP451"/>
      <c r="AT451"/>
    </row>
    <row r="452" spans="1:46" x14ac:dyDescent="0.25">
      <c r="U452" s="31"/>
      <c r="W452"/>
      <c r="X452" s="31"/>
      <c r="Z452"/>
      <c r="AC452" s="31"/>
      <c r="AE452"/>
      <c r="AI452" s="20"/>
      <c r="AJ452"/>
      <c r="AK452"/>
      <c r="AL452" s="20"/>
      <c r="AM452" s="20"/>
      <c r="AN452" s="20"/>
      <c r="AO452"/>
      <c r="AP452"/>
      <c r="AT452"/>
    </row>
    <row r="453" spans="1:46" x14ac:dyDescent="0.25">
      <c r="S453" s="20"/>
      <c r="W453"/>
      <c r="Z453"/>
      <c r="AE453"/>
      <c r="AJ453"/>
      <c r="AK453"/>
      <c r="AO453"/>
      <c r="AP453"/>
      <c r="AT453"/>
    </row>
    <row r="454" spans="1:46" x14ac:dyDescent="0.25">
      <c r="P454" s="31"/>
      <c r="U454" s="20"/>
      <c r="W454"/>
      <c r="Z454"/>
      <c r="AE454"/>
      <c r="AJ454"/>
      <c r="AK454"/>
      <c r="AO454"/>
      <c r="AP454"/>
      <c r="AT454"/>
    </row>
    <row r="455" spans="1:46" x14ac:dyDescent="0.25">
      <c r="P455" s="31"/>
      <c r="U455" s="20"/>
      <c r="W455"/>
      <c r="Z455"/>
      <c r="AE455"/>
      <c r="AJ455"/>
      <c r="AK455"/>
      <c r="AO455"/>
      <c r="AP455"/>
      <c r="AT455"/>
    </row>
    <row r="456" spans="1:46" x14ac:dyDescent="0.25">
      <c r="P456" s="31"/>
      <c r="U456" s="20"/>
      <c r="W456"/>
      <c r="Z456"/>
      <c r="AE456"/>
      <c r="AJ456"/>
      <c r="AK456"/>
      <c r="AO456"/>
      <c r="AP456"/>
      <c r="AT456"/>
    </row>
    <row r="457" spans="1:46" x14ac:dyDescent="0.25">
      <c r="P457" s="31"/>
      <c r="U457" s="20"/>
      <c r="W457"/>
      <c r="Z457"/>
      <c r="AE457"/>
      <c r="AJ457"/>
      <c r="AK457"/>
      <c r="AO457"/>
      <c r="AP457"/>
      <c r="AT457"/>
    </row>
    <row r="458" spans="1:46" x14ac:dyDescent="0.25">
      <c r="P458" s="31"/>
      <c r="U458" s="20"/>
      <c r="W458"/>
      <c r="Z458"/>
      <c r="AE458"/>
      <c r="AJ458"/>
      <c r="AK458"/>
      <c r="AO458"/>
      <c r="AP458"/>
      <c r="AT458"/>
    </row>
    <row r="459" spans="1:46" x14ac:dyDescent="0.25">
      <c r="P459" s="31"/>
      <c r="U459" s="20"/>
      <c r="W459"/>
      <c r="Z459"/>
      <c r="AE459"/>
      <c r="AJ459"/>
      <c r="AK459"/>
      <c r="AO459"/>
      <c r="AP459"/>
      <c r="AT459"/>
    </row>
    <row r="460" spans="1:46" x14ac:dyDescent="0.25">
      <c r="P460" s="31"/>
      <c r="U460" s="20"/>
      <c r="W460"/>
      <c r="Z460"/>
      <c r="AE460"/>
      <c r="AJ460"/>
      <c r="AK460"/>
      <c r="AO460"/>
      <c r="AP460"/>
      <c r="AT460"/>
    </row>
    <row r="461" spans="1:46" x14ac:dyDescent="0.25">
      <c r="P461" s="31"/>
      <c r="U461" s="20"/>
      <c r="W461"/>
      <c r="Z461"/>
      <c r="AE461"/>
      <c r="AJ461"/>
      <c r="AK461"/>
      <c r="AO461"/>
      <c r="AP461"/>
      <c r="AT461"/>
    </row>
    <row r="462" spans="1:46" x14ac:dyDescent="0.25">
      <c r="P462" s="31"/>
      <c r="U462" s="20"/>
      <c r="W462"/>
      <c r="Z462"/>
      <c r="AE462"/>
      <c r="AJ462"/>
      <c r="AK462"/>
      <c r="AO462"/>
      <c r="AP462"/>
      <c r="AT462"/>
    </row>
    <row r="463" spans="1:46" x14ac:dyDescent="0.25">
      <c r="P463" s="31"/>
      <c r="U463" s="20"/>
      <c r="W463"/>
      <c r="Z463"/>
      <c r="AE463"/>
      <c r="AJ463"/>
      <c r="AK463"/>
      <c r="AO463"/>
      <c r="AP463"/>
      <c r="AT463"/>
    </row>
    <row r="464" spans="1:46" x14ac:dyDescent="0.25">
      <c r="P464" s="31"/>
      <c r="U464" s="20"/>
      <c r="W464"/>
      <c r="Z464"/>
      <c r="AE464"/>
      <c r="AJ464"/>
      <c r="AK464"/>
      <c r="AO464"/>
      <c r="AP464"/>
      <c r="AT464"/>
    </row>
    <row r="465" spans="16:46" x14ac:dyDescent="0.25">
      <c r="P465" s="31"/>
      <c r="U465" s="20"/>
      <c r="W465"/>
      <c r="Z465"/>
      <c r="AE465"/>
      <c r="AJ465"/>
      <c r="AK465"/>
      <c r="AO465"/>
      <c r="AP465"/>
      <c r="AT465"/>
    </row>
    <row r="466" spans="16:46" x14ac:dyDescent="0.25">
      <c r="P466" s="31"/>
      <c r="U466" s="20"/>
      <c r="W466"/>
      <c r="Z466"/>
      <c r="AE466"/>
      <c r="AJ466"/>
      <c r="AK466"/>
      <c r="AO466"/>
      <c r="AP466"/>
      <c r="AT466"/>
    </row>
    <row r="467" spans="16:46" x14ac:dyDescent="0.25">
      <c r="P467" s="31"/>
      <c r="U467" s="20"/>
      <c r="W467"/>
      <c r="Z467"/>
      <c r="AE467"/>
      <c r="AJ467"/>
      <c r="AK467"/>
      <c r="AO467"/>
      <c r="AP467"/>
      <c r="AT467"/>
    </row>
    <row r="468" spans="16:46" x14ac:dyDescent="0.25">
      <c r="P468" s="31"/>
      <c r="U468" s="20"/>
      <c r="W468"/>
      <c r="Z468"/>
      <c r="AE468"/>
      <c r="AJ468"/>
      <c r="AK468"/>
      <c r="AO468"/>
      <c r="AP468"/>
      <c r="AT468"/>
    </row>
    <row r="469" spans="16:46" x14ac:dyDescent="0.25">
      <c r="P469" s="31"/>
      <c r="U469" s="20"/>
      <c r="W469"/>
      <c r="Z469"/>
      <c r="AE469"/>
      <c r="AJ469"/>
      <c r="AK469"/>
      <c r="AO469"/>
      <c r="AP469"/>
      <c r="AT469"/>
    </row>
    <row r="470" spans="16:46" x14ac:dyDescent="0.25">
      <c r="P470" s="31"/>
      <c r="U470" s="20"/>
      <c r="W470"/>
      <c r="Z470"/>
      <c r="AE470"/>
      <c r="AJ470"/>
      <c r="AK470"/>
      <c r="AO470"/>
      <c r="AP470"/>
      <c r="AT470"/>
    </row>
    <row r="471" spans="16:46" x14ac:dyDescent="0.25">
      <c r="P471" s="31"/>
      <c r="U471" s="20"/>
      <c r="W471"/>
      <c r="Z471"/>
      <c r="AE471"/>
      <c r="AJ471"/>
      <c r="AK471"/>
      <c r="AO471"/>
      <c r="AP471"/>
      <c r="AT471"/>
    </row>
    <row r="472" spans="16:46" x14ac:dyDescent="0.25">
      <c r="P472" s="31"/>
      <c r="U472" s="20"/>
      <c r="W472"/>
      <c r="Z472"/>
      <c r="AE472"/>
      <c r="AJ472"/>
      <c r="AK472"/>
      <c r="AO472"/>
      <c r="AP472"/>
      <c r="AT472"/>
    </row>
    <row r="473" spans="16:46" x14ac:dyDescent="0.25">
      <c r="P473" s="31"/>
      <c r="U473" s="20"/>
      <c r="W473"/>
      <c r="Z473"/>
      <c r="AE473"/>
      <c r="AJ473"/>
      <c r="AK473"/>
      <c r="AO473"/>
      <c r="AP473"/>
      <c r="AT473"/>
    </row>
    <row r="474" spans="16:46" x14ac:dyDescent="0.25">
      <c r="P474" s="31"/>
      <c r="U474" s="20"/>
      <c r="W474"/>
      <c r="Z474"/>
      <c r="AE474"/>
      <c r="AJ474"/>
      <c r="AK474"/>
      <c r="AO474"/>
      <c r="AP474"/>
      <c r="AT474"/>
    </row>
    <row r="475" spans="16:46" x14ac:dyDescent="0.25">
      <c r="P475" s="31"/>
      <c r="U475" s="20"/>
      <c r="W475"/>
      <c r="Z475"/>
      <c r="AE475"/>
      <c r="AJ475"/>
      <c r="AK475"/>
      <c r="AO475"/>
      <c r="AP475"/>
      <c r="AT475"/>
    </row>
    <row r="476" spans="16:46" x14ac:dyDescent="0.25">
      <c r="P476" s="31"/>
      <c r="U476" s="20"/>
      <c r="W476"/>
      <c r="Z476"/>
      <c r="AE476"/>
      <c r="AJ476"/>
      <c r="AK476"/>
      <c r="AO476"/>
      <c r="AP476"/>
      <c r="AT476"/>
    </row>
    <row r="477" spans="16:46" x14ac:dyDescent="0.25">
      <c r="P477" s="31"/>
      <c r="U477" s="20"/>
      <c r="W477"/>
      <c r="Z477"/>
      <c r="AE477"/>
      <c r="AJ477"/>
      <c r="AK477"/>
      <c r="AO477"/>
      <c r="AP477"/>
      <c r="AT477"/>
    </row>
    <row r="478" spans="16:46" x14ac:dyDescent="0.25">
      <c r="P478" s="31"/>
      <c r="U478" s="20"/>
      <c r="W478"/>
      <c r="Z478"/>
      <c r="AE478"/>
      <c r="AJ478"/>
      <c r="AK478"/>
      <c r="AO478"/>
      <c r="AP478"/>
      <c r="AT478"/>
    </row>
    <row r="479" spans="16:46" x14ac:dyDescent="0.25">
      <c r="P479" s="31"/>
      <c r="U479" s="20"/>
      <c r="W479"/>
      <c r="Z479"/>
      <c r="AE479"/>
      <c r="AJ479"/>
      <c r="AK479"/>
      <c r="AO479"/>
      <c r="AP479"/>
      <c r="AT479"/>
    </row>
    <row r="480" spans="16:46" x14ac:dyDescent="0.25">
      <c r="P480" s="31"/>
      <c r="U480" s="20"/>
      <c r="W480"/>
      <c r="Z480"/>
      <c r="AE480"/>
      <c r="AJ480"/>
      <c r="AK480"/>
      <c r="AO480"/>
      <c r="AP480"/>
      <c r="AT480"/>
    </row>
    <row r="481" spans="16:46" x14ac:dyDescent="0.25">
      <c r="P481" s="31"/>
      <c r="U481" s="20"/>
      <c r="W481"/>
      <c r="Z481"/>
      <c r="AE481"/>
      <c r="AJ481"/>
      <c r="AK481"/>
      <c r="AO481"/>
      <c r="AP481"/>
      <c r="AT481"/>
    </row>
    <row r="482" spans="16:46" x14ac:dyDescent="0.25">
      <c r="P482" s="31"/>
      <c r="U482" s="20"/>
      <c r="W482"/>
      <c r="Z482"/>
      <c r="AE482"/>
      <c r="AJ482"/>
      <c r="AK482"/>
      <c r="AO482"/>
      <c r="AP482"/>
      <c r="AT482"/>
    </row>
  </sheetData>
  <mergeCells count="182">
    <mergeCell ref="BM1:BM2"/>
    <mergeCell ref="BN1:BR1"/>
    <mergeCell ref="BG1:BG2"/>
    <mergeCell ref="BH1:BL1"/>
    <mergeCell ref="AO1:AO2"/>
    <mergeCell ref="AW1:BA1"/>
    <mergeCell ref="AU1:AV1"/>
    <mergeCell ref="O178:T178"/>
    <mergeCell ref="O179:T179"/>
    <mergeCell ref="O159:T159"/>
    <mergeCell ref="O160:T160"/>
    <mergeCell ref="O161:T161"/>
    <mergeCell ref="O162:T162"/>
    <mergeCell ref="O163:T163"/>
    <mergeCell ref="O164:T164"/>
    <mergeCell ref="O151:T151"/>
    <mergeCell ref="O152:T152"/>
    <mergeCell ref="O154:T154"/>
    <mergeCell ref="O155:T155"/>
    <mergeCell ref="O156:T156"/>
    <mergeCell ref="O157:T157"/>
    <mergeCell ref="O143:T143"/>
    <mergeCell ref="O144:T144"/>
    <mergeCell ref="O145:T145"/>
    <mergeCell ref="O180:T180"/>
    <mergeCell ref="O172:T172"/>
    <mergeCell ref="O173:T173"/>
    <mergeCell ref="O174:T174"/>
    <mergeCell ref="O175:T175"/>
    <mergeCell ref="O176:T176"/>
    <mergeCell ref="O177:T177"/>
    <mergeCell ref="O165:T165"/>
    <mergeCell ref="O166:T166"/>
    <mergeCell ref="O167:T167"/>
    <mergeCell ref="O168:T168"/>
    <mergeCell ref="O169:T169"/>
    <mergeCell ref="O170:T170"/>
    <mergeCell ref="O146:T146"/>
    <mergeCell ref="O147:T147"/>
    <mergeCell ref="O149:T149"/>
    <mergeCell ref="O136:T136"/>
    <mergeCell ref="O137:T137"/>
    <mergeCell ref="O138:T138"/>
    <mergeCell ref="O139:T139"/>
    <mergeCell ref="O141:T141"/>
    <mergeCell ref="O142:T142"/>
    <mergeCell ref="O129:T129"/>
    <mergeCell ref="O130:T130"/>
    <mergeCell ref="O132:T132"/>
    <mergeCell ref="O133:T133"/>
    <mergeCell ref="O134:T134"/>
    <mergeCell ref="O135:T135"/>
    <mergeCell ref="O122:T122"/>
    <mergeCell ref="O123:T123"/>
    <mergeCell ref="O124:T124"/>
    <mergeCell ref="O126:T126"/>
    <mergeCell ref="O127:T127"/>
    <mergeCell ref="O128:T128"/>
    <mergeCell ref="O114:T114"/>
    <mergeCell ref="O117:T117"/>
    <mergeCell ref="O118:T118"/>
    <mergeCell ref="O119:T119"/>
    <mergeCell ref="O120:T120"/>
    <mergeCell ref="O121:T121"/>
    <mergeCell ref="O108:T108"/>
    <mergeCell ref="O109:T109"/>
    <mergeCell ref="O110:T110"/>
    <mergeCell ref="O111:T111"/>
    <mergeCell ref="O112:T112"/>
    <mergeCell ref="O113:T113"/>
    <mergeCell ref="O101:T101"/>
    <mergeCell ref="O102:T102"/>
    <mergeCell ref="O103:T103"/>
    <mergeCell ref="O105:T105"/>
    <mergeCell ref="O106:T106"/>
    <mergeCell ref="O107:T107"/>
    <mergeCell ref="O96:T96"/>
    <mergeCell ref="O97:T97"/>
    <mergeCell ref="O98:T98"/>
    <mergeCell ref="O99:T99"/>
    <mergeCell ref="O100:T100"/>
    <mergeCell ref="O88:T88"/>
    <mergeCell ref="O89:T89"/>
    <mergeCell ref="O90:T90"/>
    <mergeCell ref="O91:T91"/>
    <mergeCell ref="O93:T93"/>
    <mergeCell ref="O94:T94"/>
    <mergeCell ref="O82:T82"/>
    <mergeCell ref="O83:T83"/>
    <mergeCell ref="O84:T84"/>
    <mergeCell ref="O86:T86"/>
    <mergeCell ref="O87:T87"/>
    <mergeCell ref="O76:T76"/>
    <mergeCell ref="O77:T77"/>
    <mergeCell ref="O78:T78"/>
    <mergeCell ref="O79:T79"/>
    <mergeCell ref="O80:T80"/>
    <mergeCell ref="O81:T81"/>
    <mergeCell ref="O69:T69"/>
    <mergeCell ref="O70:T70"/>
    <mergeCell ref="O71:T71"/>
    <mergeCell ref="O72:T72"/>
    <mergeCell ref="O73:T73"/>
    <mergeCell ref="O74:T74"/>
    <mergeCell ref="O61:T61"/>
    <mergeCell ref="O62:T62"/>
    <mergeCell ref="O63:T63"/>
    <mergeCell ref="O65:T65"/>
    <mergeCell ref="O66:T66"/>
    <mergeCell ref="O68:T68"/>
    <mergeCell ref="O57:T57"/>
    <mergeCell ref="O58:T58"/>
    <mergeCell ref="O59:T59"/>
    <mergeCell ref="O36:T36"/>
    <mergeCell ref="O37:T37"/>
    <mergeCell ref="O38:T38"/>
    <mergeCell ref="O39:T39"/>
    <mergeCell ref="O53:T53"/>
    <mergeCell ref="O42:T42"/>
    <mergeCell ref="O43:T43"/>
    <mergeCell ref="O44:T44"/>
    <mergeCell ref="O45:T45"/>
    <mergeCell ref="O40:T40"/>
    <mergeCell ref="O46:T46"/>
    <mergeCell ref="O47:T47"/>
    <mergeCell ref="O48:T48"/>
    <mergeCell ref="O49:T49"/>
    <mergeCell ref="O50:T50"/>
    <mergeCell ref="O51:T51"/>
    <mergeCell ref="O54:T54"/>
    <mergeCell ref="O55:T55"/>
    <mergeCell ref="O56:T56"/>
    <mergeCell ref="O29:T29"/>
    <mergeCell ref="O3:T3"/>
    <mergeCell ref="O23:T23"/>
    <mergeCell ref="O24:T24"/>
    <mergeCell ref="O25:T25"/>
    <mergeCell ref="O26:T26"/>
    <mergeCell ref="O27:T27"/>
    <mergeCell ref="O28:T28"/>
    <mergeCell ref="O35:T35"/>
    <mergeCell ref="O22:T22"/>
    <mergeCell ref="O30:T30"/>
    <mergeCell ref="O31:T31"/>
    <mergeCell ref="O32:T32"/>
    <mergeCell ref="O33:T33"/>
    <mergeCell ref="O34:T34"/>
    <mergeCell ref="O16:T16"/>
    <mergeCell ref="O17:T17"/>
    <mergeCell ref="O18:T18"/>
    <mergeCell ref="O19:T19"/>
    <mergeCell ref="O20:T20"/>
    <mergeCell ref="O21:T21"/>
    <mergeCell ref="O12:T12"/>
    <mergeCell ref="O13:T13"/>
    <mergeCell ref="O14:T14"/>
    <mergeCell ref="O15:T15"/>
    <mergeCell ref="O4:T4"/>
    <mergeCell ref="O5:T5"/>
    <mergeCell ref="O6:T6"/>
    <mergeCell ref="O7:T7"/>
    <mergeCell ref="O8:T8"/>
    <mergeCell ref="O9:T9"/>
    <mergeCell ref="BB1:BF1"/>
    <mergeCell ref="AT1:AT2"/>
    <mergeCell ref="AP1:AP2"/>
    <mergeCell ref="AN1:AN2"/>
    <mergeCell ref="AI1:AI2"/>
    <mergeCell ref="AJ1:AJ2"/>
    <mergeCell ref="AK1:AK2"/>
    <mergeCell ref="O10:T10"/>
    <mergeCell ref="O11:T11"/>
    <mergeCell ref="AS1:AS2"/>
    <mergeCell ref="U1:U2"/>
    <mergeCell ref="V1:W1"/>
    <mergeCell ref="X1:AB1"/>
    <mergeCell ref="AH1:AH2"/>
    <mergeCell ref="AL1:AL2"/>
    <mergeCell ref="AM1:AM2"/>
    <mergeCell ref="AQ1:AQ2"/>
    <mergeCell ref="AR1:AR2"/>
    <mergeCell ref="AC1:AG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3"/>
  <sheetViews>
    <sheetView topLeftCell="B135" workbookViewId="0">
      <selection activeCell="E3" sqref="E3:J152"/>
    </sheetView>
  </sheetViews>
  <sheetFormatPr baseColWidth="10" defaultRowHeight="15" x14ac:dyDescent="0.25"/>
  <cols>
    <col min="1" max="1" width="14" customWidth="1"/>
    <col min="2" max="2" width="17" customWidth="1"/>
    <col min="3" max="3" width="13.42578125" customWidth="1"/>
    <col min="4" max="4" width="30.7109375" customWidth="1"/>
    <col min="11" max="11" width="12.28515625" customWidth="1"/>
    <col min="12" max="12" width="11.42578125" style="31"/>
    <col min="13" max="13" width="12.28515625" customWidth="1"/>
    <col min="14" max="14" width="11.42578125" style="31"/>
    <col min="15" max="15" width="12.28515625" customWidth="1"/>
    <col min="16" max="16" width="11.42578125" style="31"/>
  </cols>
  <sheetData>
    <row r="1" spans="1:16" ht="15" customHeight="1" x14ac:dyDescent="0.25">
      <c r="E1" s="73" t="s">
        <v>230</v>
      </c>
      <c r="F1" s="74"/>
      <c r="G1" s="74"/>
      <c r="H1" s="74"/>
      <c r="I1" s="74"/>
      <c r="J1" s="75"/>
      <c r="K1" s="46" t="s">
        <v>229</v>
      </c>
      <c r="L1" s="47"/>
      <c r="M1" s="47"/>
      <c r="N1" s="47"/>
      <c r="O1" s="47"/>
      <c r="P1" s="48"/>
    </row>
    <row r="2" spans="1:16" x14ac:dyDescent="0.25">
      <c r="A2" s="71" t="s">
        <v>245</v>
      </c>
      <c r="B2" s="71"/>
      <c r="C2" s="72"/>
      <c r="D2" s="72"/>
      <c r="E2" s="18" t="s">
        <v>212</v>
      </c>
      <c r="F2" s="18" t="s">
        <v>213</v>
      </c>
      <c r="G2" s="18" t="s">
        <v>212</v>
      </c>
      <c r="H2" s="18" t="s">
        <v>213</v>
      </c>
      <c r="I2" s="18" t="s">
        <v>212</v>
      </c>
      <c r="J2" s="18" t="s">
        <v>213</v>
      </c>
      <c r="K2" s="18" t="s">
        <v>212</v>
      </c>
      <c r="L2" s="18" t="s">
        <v>213</v>
      </c>
      <c r="M2" s="18" t="s">
        <v>212</v>
      </c>
      <c r="N2" s="18" t="s">
        <v>213</v>
      </c>
      <c r="O2" s="18" t="s">
        <v>212</v>
      </c>
      <c r="P2" s="18" t="s">
        <v>213</v>
      </c>
    </row>
    <row r="3" spans="1:16" x14ac:dyDescent="0.25">
      <c r="A3" s="70" t="s">
        <v>230</v>
      </c>
      <c r="B3" s="35" t="s">
        <v>246</v>
      </c>
      <c r="C3" s="41">
        <f>CORREL(I3:I5,J3:J5)</f>
        <v>0.90668439144193114</v>
      </c>
      <c r="D3" s="42" t="s">
        <v>260</v>
      </c>
      <c r="E3" s="32">
        <v>91</v>
      </c>
      <c r="F3" s="5">
        <v>45</v>
      </c>
      <c r="G3" s="4">
        <v>175</v>
      </c>
      <c r="H3" s="4">
        <v>180</v>
      </c>
      <c r="I3" s="3">
        <v>699</v>
      </c>
      <c r="J3" s="3">
        <v>793</v>
      </c>
      <c r="K3" s="5">
        <v>5</v>
      </c>
      <c r="L3" s="5">
        <v>2</v>
      </c>
      <c r="M3" s="4">
        <v>15</v>
      </c>
      <c r="N3" s="4">
        <v>21</v>
      </c>
      <c r="O3" s="15">
        <v>67</v>
      </c>
      <c r="P3" s="15">
        <v>87</v>
      </c>
    </row>
    <row r="4" spans="1:16" x14ac:dyDescent="0.25">
      <c r="A4" s="70"/>
      <c r="B4" s="35" t="s">
        <v>247</v>
      </c>
      <c r="C4" s="41">
        <f>CORREL(G3:G27,H3:H27)</f>
        <v>0.75127944536601898</v>
      </c>
      <c r="D4" s="42" t="s">
        <v>225</v>
      </c>
      <c r="E4" s="32">
        <v>6</v>
      </c>
      <c r="F4" s="5">
        <v>46</v>
      </c>
      <c r="G4" s="4">
        <v>18</v>
      </c>
      <c r="H4" s="4">
        <v>60</v>
      </c>
      <c r="I4" s="15">
        <v>542</v>
      </c>
      <c r="J4" s="15">
        <v>383</v>
      </c>
      <c r="K4" s="5">
        <v>2</v>
      </c>
      <c r="L4" s="5">
        <v>7</v>
      </c>
      <c r="M4" s="4">
        <v>3</v>
      </c>
      <c r="N4" s="4">
        <v>6</v>
      </c>
      <c r="O4" s="15">
        <v>68</v>
      </c>
      <c r="P4" s="15">
        <v>50</v>
      </c>
    </row>
    <row r="5" spans="1:16" x14ac:dyDescent="0.25">
      <c r="A5" s="70"/>
      <c r="B5" s="40" t="s">
        <v>248</v>
      </c>
      <c r="C5" s="38">
        <f>CORREL(E3:E152,F3:F152)</f>
        <v>0.46467566758526196</v>
      </c>
      <c r="D5" s="39" t="s">
        <v>226</v>
      </c>
      <c r="E5" s="32">
        <v>6</v>
      </c>
      <c r="F5" s="5">
        <v>0</v>
      </c>
      <c r="G5" s="4">
        <v>87</v>
      </c>
      <c r="H5" s="4">
        <v>95</v>
      </c>
      <c r="I5" s="15">
        <v>566</v>
      </c>
      <c r="J5" s="15">
        <v>210</v>
      </c>
      <c r="K5" s="5">
        <v>1</v>
      </c>
      <c r="L5" s="5">
        <v>0</v>
      </c>
      <c r="M5" s="4">
        <v>13</v>
      </c>
      <c r="N5" s="4">
        <v>14</v>
      </c>
      <c r="O5" s="15">
        <v>94</v>
      </c>
      <c r="P5" s="15">
        <v>82</v>
      </c>
    </row>
    <row r="6" spans="1:16" x14ac:dyDescent="0.25">
      <c r="A6" s="70" t="s">
        <v>229</v>
      </c>
      <c r="B6" s="43" t="s">
        <v>246</v>
      </c>
      <c r="C6" s="36">
        <f>CORREL(O3:O5,P3:P5)</f>
        <v>0.35795062655184001</v>
      </c>
      <c r="D6" s="37" t="s">
        <v>244</v>
      </c>
      <c r="E6" s="32">
        <v>14</v>
      </c>
      <c r="F6" s="5">
        <v>9</v>
      </c>
      <c r="G6" s="4">
        <v>281</v>
      </c>
      <c r="H6" s="4">
        <v>358</v>
      </c>
      <c r="K6" s="5">
        <v>1</v>
      </c>
      <c r="L6" s="5">
        <v>1</v>
      </c>
      <c r="M6" s="4">
        <v>17</v>
      </c>
      <c r="N6" s="4">
        <v>27</v>
      </c>
    </row>
    <row r="7" spans="1:16" x14ac:dyDescent="0.25">
      <c r="A7" s="70"/>
      <c r="B7" s="35" t="s">
        <v>247</v>
      </c>
      <c r="C7" s="41">
        <f>CORREL(M3:M27,N3:N27)</f>
        <v>0.63841838980364607</v>
      </c>
      <c r="D7" s="42" t="s">
        <v>226</v>
      </c>
      <c r="E7" s="32">
        <v>30</v>
      </c>
      <c r="F7" s="5">
        <v>4</v>
      </c>
      <c r="G7" s="4">
        <v>58</v>
      </c>
      <c r="H7" s="4">
        <v>57</v>
      </c>
      <c r="K7" s="5">
        <v>2</v>
      </c>
      <c r="L7" s="5">
        <v>1</v>
      </c>
      <c r="M7" s="4">
        <v>9</v>
      </c>
      <c r="N7" s="4">
        <v>8</v>
      </c>
      <c r="P7"/>
    </row>
    <row r="8" spans="1:16" x14ac:dyDescent="0.25">
      <c r="A8" s="70"/>
      <c r="B8" s="40" t="s">
        <v>248</v>
      </c>
      <c r="C8" s="38">
        <f>CORREL(K3:K152,L3:L152)</f>
        <v>0.34901523321918326</v>
      </c>
      <c r="D8" s="39" t="s">
        <v>244</v>
      </c>
      <c r="E8" s="32">
        <v>23</v>
      </c>
      <c r="F8" s="5">
        <v>56</v>
      </c>
      <c r="G8" s="4">
        <v>80</v>
      </c>
      <c r="H8" s="4">
        <v>43</v>
      </c>
      <c r="K8" s="5">
        <v>3</v>
      </c>
      <c r="L8" s="5">
        <v>6</v>
      </c>
      <c r="M8" s="4">
        <v>10</v>
      </c>
      <c r="N8" s="4">
        <v>11</v>
      </c>
      <c r="P8"/>
    </row>
    <row r="9" spans="1:16" x14ac:dyDescent="0.25">
      <c r="E9" s="5">
        <v>5</v>
      </c>
      <c r="F9" s="5">
        <v>8</v>
      </c>
      <c r="G9" s="4">
        <v>45</v>
      </c>
      <c r="H9" s="4">
        <v>76</v>
      </c>
      <c r="K9" s="5">
        <v>1</v>
      </c>
      <c r="L9" s="5">
        <v>2</v>
      </c>
      <c r="M9" s="4">
        <v>6</v>
      </c>
      <c r="N9" s="4">
        <v>11</v>
      </c>
      <c r="P9"/>
    </row>
    <row r="10" spans="1:16" x14ac:dyDescent="0.25">
      <c r="E10" s="5">
        <v>0</v>
      </c>
      <c r="F10" s="5">
        <v>12</v>
      </c>
      <c r="G10" s="4">
        <v>29</v>
      </c>
      <c r="H10" s="4">
        <v>18</v>
      </c>
      <c r="K10" s="5">
        <v>0</v>
      </c>
      <c r="L10" s="5">
        <v>2</v>
      </c>
      <c r="M10" s="4">
        <v>4</v>
      </c>
      <c r="N10" s="4">
        <v>4</v>
      </c>
      <c r="P10"/>
    </row>
    <row r="11" spans="1:16" x14ac:dyDescent="0.25">
      <c r="E11" s="5">
        <v>0</v>
      </c>
      <c r="F11" s="5">
        <v>4</v>
      </c>
      <c r="G11" s="4">
        <v>39</v>
      </c>
      <c r="H11" s="4">
        <v>30</v>
      </c>
      <c r="K11" s="5">
        <v>0</v>
      </c>
      <c r="L11" s="5">
        <v>1</v>
      </c>
      <c r="M11" s="4">
        <v>4</v>
      </c>
      <c r="N11" s="4">
        <v>3</v>
      </c>
      <c r="P11"/>
    </row>
    <row r="12" spans="1:16" x14ac:dyDescent="0.25">
      <c r="E12" s="5">
        <v>0</v>
      </c>
      <c r="F12" s="5">
        <v>52</v>
      </c>
      <c r="G12" s="4">
        <v>4</v>
      </c>
      <c r="H12" s="4">
        <v>0</v>
      </c>
      <c r="K12" s="5">
        <v>0</v>
      </c>
      <c r="L12" s="5">
        <v>3</v>
      </c>
      <c r="M12" s="4">
        <v>2</v>
      </c>
      <c r="N12" s="4">
        <v>0</v>
      </c>
      <c r="P12"/>
    </row>
    <row r="13" spans="1:16" x14ac:dyDescent="0.25">
      <c r="E13" s="5">
        <v>18</v>
      </c>
      <c r="F13" s="5">
        <v>4</v>
      </c>
      <c r="G13" s="4">
        <v>105</v>
      </c>
      <c r="H13" s="4">
        <v>38</v>
      </c>
      <c r="K13" s="5">
        <v>3</v>
      </c>
      <c r="L13" s="5">
        <v>2</v>
      </c>
      <c r="M13" s="4">
        <v>12</v>
      </c>
      <c r="N13" s="4">
        <v>5</v>
      </c>
      <c r="P13"/>
    </row>
    <row r="14" spans="1:16" x14ac:dyDescent="0.25">
      <c r="E14" s="5">
        <v>42</v>
      </c>
      <c r="F14" s="5">
        <v>60</v>
      </c>
      <c r="G14" s="4">
        <v>153</v>
      </c>
      <c r="H14" s="4">
        <v>83</v>
      </c>
      <c r="K14" s="5">
        <v>6</v>
      </c>
      <c r="L14" s="5">
        <v>7</v>
      </c>
      <c r="M14" s="4">
        <v>13</v>
      </c>
      <c r="N14" s="4">
        <v>6</v>
      </c>
      <c r="P14"/>
    </row>
    <row r="15" spans="1:16" x14ac:dyDescent="0.25">
      <c r="E15" s="5">
        <v>14</v>
      </c>
      <c r="F15" s="5">
        <v>20</v>
      </c>
      <c r="G15" s="4">
        <v>47</v>
      </c>
      <c r="H15" s="4">
        <v>11</v>
      </c>
      <c r="K15" s="5">
        <v>1</v>
      </c>
      <c r="L15" s="5">
        <v>2</v>
      </c>
      <c r="M15" s="4">
        <v>8</v>
      </c>
      <c r="N15" s="4">
        <v>4</v>
      </c>
      <c r="P15"/>
    </row>
    <row r="16" spans="1:16" x14ac:dyDescent="0.25">
      <c r="E16" s="5">
        <v>25</v>
      </c>
      <c r="F16" s="5">
        <v>5</v>
      </c>
      <c r="G16" s="4">
        <v>2</v>
      </c>
      <c r="H16" s="4">
        <v>0</v>
      </c>
      <c r="K16" s="5">
        <v>4</v>
      </c>
      <c r="L16" s="5">
        <v>2</v>
      </c>
      <c r="M16" s="4">
        <v>2</v>
      </c>
      <c r="N16" s="4">
        <v>0</v>
      </c>
    </row>
    <row r="17" spans="5:14" x14ac:dyDescent="0.25">
      <c r="E17" s="5">
        <v>6</v>
      </c>
      <c r="F17" s="5">
        <v>10</v>
      </c>
      <c r="G17" s="4">
        <v>41</v>
      </c>
      <c r="H17" s="4">
        <v>96</v>
      </c>
      <c r="K17" s="5">
        <v>2</v>
      </c>
      <c r="L17" s="5">
        <v>3</v>
      </c>
      <c r="M17" s="4">
        <v>7</v>
      </c>
      <c r="N17" s="4">
        <v>13</v>
      </c>
    </row>
    <row r="18" spans="5:14" x14ac:dyDescent="0.25">
      <c r="E18" s="5">
        <v>21</v>
      </c>
      <c r="F18" s="5">
        <v>0</v>
      </c>
      <c r="G18" s="4">
        <v>77</v>
      </c>
      <c r="H18" s="4">
        <v>31</v>
      </c>
      <c r="K18" s="5">
        <v>2</v>
      </c>
      <c r="L18" s="5">
        <v>0</v>
      </c>
      <c r="M18" s="4">
        <v>10</v>
      </c>
      <c r="N18" s="4">
        <v>4</v>
      </c>
    </row>
    <row r="19" spans="5:14" x14ac:dyDescent="0.25">
      <c r="E19" s="5">
        <v>12</v>
      </c>
      <c r="F19" s="5">
        <v>57</v>
      </c>
      <c r="G19" s="4">
        <v>255</v>
      </c>
      <c r="H19" s="4">
        <v>80</v>
      </c>
      <c r="K19" s="5">
        <v>1</v>
      </c>
      <c r="L19" s="5">
        <v>4</v>
      </c>
      <c r="M19" s="4">
        <v>15</v>
      </c>
      <c r="N19" s="4">
        <v>26</v>
      </c>
    </row>
    <row r="20" spans="5:14" x14ac:dyDescent="0.25">
      <c r="E20" s="5">
        <v>17</v>
      </c>
      <c r="F20" s="5">
        <v>41</v>
      </c>
      <c r="G20" s="4">
        <v>32</v>
      </c>
      <c r="H20" s="4">
        <v>8</v>
      </c>
      <c r="K20" s="5">
        <v>1</v>
      </c>
      <c r="L20" s="5">
        <v>3</v>
      </c>
      <c r="M20" s="4">
        <v>8</v>
      </c>
      <c r="N20" s="4">
        <v>2</v>
      </c>
    </row>
    <row r="21" spans="5:14" x14ac:dyDescent="0.25">
      <c r="E21" s="5">
        <v>170</v>
      </c>
      <c r="F21" s="5">
        <v>185</v>
      </c>
      <c r="G21" s="4">
        <v>74</v>
      </c>
      <c r="H21" s="4">
        <v>30</v>
      </c>
      <c r="K21" s="5">
        <v>8</v>
      </c>
      <c r="L21" s="5">
        <v>14</v>
      </c>
      <c r="M21" s="4">
        <v>11</v>
      </c>
      <c r="N21" s="4">
        <v>7</v>
      </c>
    </row>
    <row r="22" spans="5:14" x14ac:dyDescent="0.25">
      <c r="E22" s="5">
        <v>14</v>
      </c>
      <c r="F22" s="5">
        <v>2</v>
      </c>
      <c r="G22" s="4">
        <v>11</v>
      </c>
      <c r="H22" s="4">
        <v>42</v>
      </c>
      <c r="K22" s="5">
        <v>2</v>
      </c>
      <c r="L22" s="5">
        <v>1</v>
      </c>
      <c r="M22" s="4">
        <v>7</v>
      </c>
      <c r="N22" s="4">
        <v>10</v>
      </c>
    </row>
    <row r="23" spans="5:14" x14ac:dyDescent="0.25">
      <c r="E23" s="5">
        <v>4</v>
      </c>
      <c r="F23" s="5">
        <v>7</v>
      </c>
      <c r="G23" s="4">
        <v>0</v>
      </c>
      <c r="H23" s="4">
        <v>3</v>
      </c>
      <c r="K23" s="5">
        <v>1</v>
      </c>
      <c r="L23" s="5">
        <v>1</v>
      </c>
      <c r="M23" s="4">
        <v>0</v>
      </c>
      <c r="N23" s="4">
        <v>3</v>
      </c>
    </row>
    <row r="24" spans="5:14" x14ac:dyDescent="0.25">
      <c r="E24" s="5">
        <v>43</v>
      </c>
      <c r="F24" s="5">
        <v>62</v>
      </c>
      <c r="G24" s="4">
        <v>17</v>
      </c>
      <c r="H24" s="4">
        <v>5</v>
      </c>
      <c r="K24" s="5">
        <v>2</v>
      </c>
      <c r="L24" s="5">
        <v>3</v>
      </c>
      <c r="M24" s="4">
        <v>5</v>
      </c>
      <c r="N24" s="4">
        <v>2</v>
      </c>
    </row>
    <row r="25" spans="5:14" x14ac:dyDescent="0.25">
      <c r="E25" s="5">
        <v>0</v>
      </c>
      <c r="F25" s="5">
        <v>17</v>
      </c>
      <c r="G25" s="4">
        <v>15</v>
      </c>
      <c r="H25" s="4">
        <v>7</v>
      </c>
      <c r="K25" s="5">
        <v>0</v>
      </c>
      <c r="L25" s="5">
        <v>2</v>
      </c>
      <c r="M25" s="4">
        <v>3</v>
      </c>
      <c r="N25" s="4">
        <v>1</v>
      </c>
    </row>
    <row r="26" spans="5:14" x14ac:dyDescent="0.25">
      <c r="E26" s="5">
        <v>9</v>
      </c>
      <c r="F26" s="5">
        <v>23</v>
      </c>
      <c r="G26" s="4">
        <v>151</v>
      </c>
      <c r="H26" s="4">
        <v>26</v>
      </c>
      <c r="K26" s="5">
        <v>1</v>
      </c>
      <c r="L26" s="5">
        <v>4</v>
      </c>
      <c r="M26" s="4">
        <v>38</v>
      </c>
      <c r="N26" s="4">
        <v>18</v>
      </c>
    </row>
    <row r="27" spans="5:14" x14ac:dyDescent="0.25">
      <c r="E27" s="5">
        <v>49</v>
      </c>
      <c r="F27" s="5">
        <v>17</v>
      </c>
      <c r="G27" s="4">
        <v>11</v>
      </c>
      <c r="H27" s="4">
        <v>9</v>
      </c>
      <c r="K27" s="5">
        <v>8</v>
      </c>
      <c r="L27" s="5">
        <v>2</v>
      </c>
      <c r="M27" s="4">
        <v>7</v>
      </c>
      <c r="N27" s="4">
        <v>13</v>
      </c>
    </row>
    <row r="28" spans="5:14" x14ac:dyDescent="0.25">
      <c r="E28" s="5">
        <v>39</v>
      </c>
      <c r="F28" s="5">
        <v>7</v>
      </c>
      <c r="K28" s="5">
        <v>5</v>
      </c>
      <c r="L28" s="5">
        <v>3</v>
      </c>
    </row>
    <row r="29" spans="5:14" x14ac:dyDescent="0.25">
      <c r="E29" s="5">
        <v>12</v>
      </c>
      <c r="F29" s="5">
        <v>26</v>
      </c>
      <c r="K29" s="5">
        <v>2</v>
      </c>
      <c r="L29" s="5">
        <v>4</v>
      </c>
      <c r="N29"/>
    </row>
    <row r="30" spans="5:14" x14ac:dyDescent="0.25">
      <c r="E30" s="5">
        <v>8</v>
      </c>
      <c r="F30" s="5">
        <v>7</v>
      </c>
      <c r="K30" s="5">
        <v>2</v>
      </c>
      <c r="L30" s="5">
        <v>2</v>
      </c>
      <c r="N30"/>
    </row>
    <row r="31" spans="5:14" x14ac:dyDescent="0.25">
      <c r="E31" s="5">
        <v>0</v>
      </c>
      <c r="F31" s="5">
        <v>1</v>
      </c>
      <c r="K31" s="5">
        <v>0</v>
      </c>
      <c r="L31" s="5">
        <v>1</v>
      </c>
      <c r="N31"/>
    </row>
    <row r="32" spans="5:14" x14ac:dyDescent="0.25">
      <c r="E32" s="5">
        <v>21</v>
      </c>
      <c r="F32" s="5">
        <v>2</v>
      </c>
      <c r="K32" s="5">
        <v>1</v>
      </c>
      <c r="L32" s="5">
        <v>1</v>
      </c>
      <c r="N32"/>
    </row>
    <row r="33" spans="5:14" x14ac:dyDescent="0.25">
      <c r="E33" s="5">
        <v>0</v>
      </c>
      <c r="F33" s="5">
        <v>11</v>
      </c>
      <c r="K33" s="5">
        <v>0</v>
      </c>
      <c r="L33" s="5">
        <v>1</v>
      </c>
      <c r="N33"/>
    </row>
    <row r="34" spans="5:14" x14ac:dyDescent="0.25">
      <c r="E34" s="5">
        <v>2</v>
      </c>
      <c r="F34" s="5">
        <v>7</v>
      </c>
      <c r="K34" s="5">
        <v>1</v>
      </c>
      <c r="L34" s="5">
        <v>1</v>
      </c>
      <c r="N34"/>
    </row>
    <row r="35" spans="5:14" x14ac:dyDescent="0.25">
      <c r="E35" s="5">
        <v>10</v>
      </c>
      <c r="F35" s="5">
        <v>0</v>
      </c>
      <c r="K35" s="5">
        <v>1</v>
      </c>
      <c r="L35" s="5">
        <v>0</v>
      </c>
      <c r="N35"/>
    </row>
    <row r="36" spans="5:14" x14ac:dyDescent="0.25">
      <c r="E36" s="5">
        <v>0</v>
      </c>
      <c r="F36" s="5">
        <v>1</v>
      </c>
      <c r="K36" s="5">
        <v>0</v>
      </c>
      <c r="L36" s="5">
        <v>1</v>
      </c>
      <c r="N36"/>
    </row>
    <row r="37" spans="5:14" x14ac:dyDescent="0.25">
      <c r="E37" s="5">
        <v>1</v>
      </c>
      <c r="F37" s="5">
        <v>2</v>
      </c>
      <c r="K37" s="5">
        <v>1</v>
      </c>
      <c r="L37" s="5">
        <v>1</v>
      </c>
      <c r="N37"/>
    </row>
    <row r="38" spans="5:14" x14ac:dyDescent="0.25">
      <c r="E38" s="5">
        <v>0</v>
      </c>
      <c r="F38" s="5">
        <v>27</v>
      </c>
      <c r="K38" s="5">
        <v>0</v>
      </c>
      <c r="L38" s="5">
        <v>2</v>
      </c>
    </row>
    <row r="39" spans="5:14" x14ac:dyDescent="0.25">
      <c r="E39" s="5">
        <v>8</v>
      </c>
      <c r="F39" s="5">
        <v>3</v>
      </c>
      <c r="K39" s="5">
        <v>1</v>
      </c>
      <c r="L39" s="5">
        <v>1</v>
      </c>
    </row>
    <row r="40" spans="5:14" x14ac:dyDescent="0.25">
      <c r="E40" s="5">
        <v>0</v>
      </c>
      <c r="F40" s="5">
        <v>5</v>
      </c>
      <c r="K40" s="5">
        <v>0</v>
      </c>
      <c r="L40" s="5">
        <v>1</v>
      </c>
    </row>
    <row r="41" spans="5:14" x14ac:dyDescent="0.25">
      <c r="E41" s="5">
        <v>14</v>
      </c>
      <c r="F41" s="5">
        <v>9</v>
      </c>
      <c r="K41" s="5">
        <v>1</v>
      </c>
      <c r="L41" s="5">
        <v>2</v>
      </c>
    </row>
    <row r="42" spans="5:14" x14ac:dyDescent="0.25">
      <c r="E42" s="5">
        <v>10</v>
      </c>
      <c r="F42" s="5">
        <v>11</v>
      </c>
      <c r="K42" s="5">
        <v>1</v>
      </c>
      <c r="L42" s="5">
        <v>1</v>
      </c>
    </row>
    <row r="43" spans="5:14" x14ac:dyDescent="0.25">
      <c r="E43" s="5">
        <v>4</v>
      </c>
      <c r="F43" s="5">
        <v>0</v>
      </c>
      <c r="K43" s="5">
        <v>1</v>
      </c>
      <c r="L43" s="5">
        <v>0</v>
      </c>
    </row>
    <row r="44" spans="5:14" x14ac:dyDescent="0.25">
      <c r="E44" s="5">
        <v>4</v>
      </c>
      <c r="F44" s="5">
        <v>0</v>
      </c>
      <c r="K44" s="5">
        <v>1</v>
      </c>
      <c r="L44" s="5">
        <v>0</v>
      </c>
    </row>
    <row r="45" spans="5:14" x14ac:dyDescent="0.25">
      <c r="E45" s="5">
        <v>0</v>
      </c>
      <c r="F45" s="5">
        <v>3</v>
      </c>
      <c r="K45" s="5">
        <v>0</v>
      </c>
      <c r="L45" s="5">
        <v>1</v>
      </c>
    </row>
    <row r="46" spans="5:14" x14ac:dyDescent="0.25">
      <c r="E46" s="5">
        <v>19</v>
      </c>
      <c r="F46" s="5">
        <v>4</v>
      </c>
      <c r="K46" s="5">
        <v>1</v>
      </c>
      <c r="L46" s="5">
        <v>1</v>
      </c>
    </row>
    <row r="47" spans="5:14" x14ac:dyDescent="0.25">
      <c r="E47" s="5">
        <v>0</v>
      </c>
      <c r="F47" s="5">
        <v>6</v>
      </c>
      <c r="K47" s="5">
        <v>0</v>
      </c>
      <c r="L47" s="5">
        <v>1</v>
      </c>
    </row>
    <row r="48" spans="5:14" x14ac:dyDescent="0.25">
      <c r="E48" s="5">
        <v>0</v>
      </c>
      <c r="F48" s="5">
        <v>5</v>
      </c>
      <c r="K48" s="5">
        <v>0</v>
      </c>
      <c r="L48" s="5">
        <v>1</v>
      </c>
    </row>
    <row r="49" spans="5:12" x14ac:dyDescent="0.25">
      <c r="E49" s="5">
        <v>2</v>
      </c>
      <c r="F49" s="5">
        <v>0</v>
      </c>
      <c r="K49" s="5">
        <v>1</v>
      </c>
      <c r="L49" s="5">
        <v>0</v>
      </c>
    </row>
    <row r="50" spans="5:12" x14ac:dyDescent="0.25">
      <c r="E50" s="5">
        <v>7</v>
      </c>
      <c r="F50" s="5">
        <v>8</v>
      </c>
      <c r="K50" s="5">
        <v>2</v>
      </c>
      <c r="L50" s="5">
        <v>1</v>
      </c>
    </row>
    <row r="51" spans="5:12" x14ac:dyDescent="0.25">
      <c r="E51" s="5">
        <v>0</v>
      </c>
      <c r="F51" s="5">
        <v>17</v>
      </c>
      <c r="K51" s="5">
        <v>0</v>
      </c>
      <c r="L51" s="5">
        <v>1</v>
      </c>
    </row>
    <row r="52" spans="5:12" x14ac:dyDescent="0.25">
      <c r="E52" s="5">
        <v>32</v>
      </c>
      <c r="F52" s="5">
        <v>5</v>
      </c>
      <c r="K52" s="5">
        <v>2</v>
      </c>
      <c r="L52" s="5">
        <v>1</v>
      </c>
    </row>
    <row r="53" spans="5:12" x14ac:dyDescent="0.25">
      <c r="E53" s="5">
        <v>2</v>
      </c>
      <c r="F53" s="5">
        <v>0</v>
      </c>
      <c r="K53" s="5">
        <v>1</v>
      </c>
      <c r="L53" s="5">
        <v>0</v>
      </c>
    </row>
    <row r="54" spans="5:12" x14ac:dyDescent="0.25">
      <c r="E54" s="5">
        <v>2</v>
      </c>
      <c r="F54" s="5">
        <v>0</v>
      </c>
      <c r="K54" s="5">
        <v>1</v>
      </c>
      <c r="L54" s="5">
        <v>0</v>
      </c>
    </row>
    <row r="55" spans="5:12" x14ac:dyDescent="0.25">
      <c r="E55" s="5">
        <v>15</v>
      </c>
      <c r="F55" s="5">
        <v>9</v>
      </c>
      <c r="K55" s="5">
        <v>2</v>
      </c>
      <c r="L55" s="5">
        <v>1</v>
      </c>
    </row>
    <row r="56" spans="5:12" x14ac:dyDescent="0.25">
      <c r="E56" s="5">
        <v>16</v>
      </c>
      <c r="F56" s="5">
        <v>14</v>
      </c>
      <c r="K56" s="5">
        <v>2</v>
      </c>
      <c r="L56" s="5">
        <v>2</v>
      </c>
    </row>
    <row r="57" spans="5:12" x14ac:dyDescent="0.25">
      <c r="E57" s="5">
        <v>6</v>
      </c>
      <c r="F57" s="5">
        <v>2</v>
      </c>
      <c r="K57" s="5">
        <v>1</v>
      </c>
      <c r="L57" s="5">
        <v>1</v>
      </c>
    </row>
    <row r="58" spans="5:12" x14ac:dyDescent="0.25">
      <c r="E58" s="5">
        <v>7</v>
      </c>
      <c r="F58" s="5">
        <v>0</v>
      </c>
      <c r="K58" s="5">
        <v>1</v>
      </c>
      <c r="L58" s="5">
        <v>0</v>
      </c>
    </row>
    <row r="59" spans="5:12" x14ac:dyDescent="0.25">
      <c r="E59" s="5">
        <v>19</v>
      </c>
      <c r="F59" s="5">
        <v>13</v>
      </c>
      <c r="K59" s="5">
        <v>1</v>
      </c>
      <c r="L59" s="5">
        <v>1</v>
      </c>
    </row>
    <row r="60" spans="5:12" x14ac:dyDescent="0.25">
      <c r="E60" s="5">
        <v>20</v>
      </c>
      <c r="F60" s="5">
        <v>0</v>
      </c>
      <c r="K60" s="5">
        <v>3</v>
      </c>
      <c r="L60" s="5">
        <v>0</v>
      </c>
    </row>
    <row r="61" spans="5:12" x14ac:dyDescent="0.25">
      <c r="E61" s="5">
        <v>22</v>
      </c>
      <c r="F61" s="5">
        <v>0</v>
      </c>
      <c r="K61" s="5">
        <v>2</v>
      </c>
      <c r="L61" s="5">
        <v>0</v>
      </c>
    </row>
    <row r="62" spans="5:12" x14ac:dyDescent="0.25">
      <c r="E62" s="5">
        <v>11</v>
      </c>
      <c r="F62" s="5">
        <v>0</v>
      </c>
      <c r="K62" s="5">
        <v>1</v>
      </c>
      <c r="L62" s="5">
        <v>0</v>
      </c>
    </row>
    <row r="63" spans="5:12" x14ac:dyDescent="0.25">
      <c r="E63" s="5">
        <v>62</v>
      </c>
      <c r="F63" s="5">
        <v>31</v>
      </c>
      <c r="K63" s="5">
        <v>1</v>
      </c>
      <c r="L63" s="5">
        <v>2</v>
      </c>
    </row>
    <row r="64" spans="5:12" x14ac:dyDescent="0.25">
      <c r="E64" s="5">
        <v>6</v>
      </c>
      <c r="F64" s="5">
        <v>1</v>
      </c>
      <c r="K64" s="5">
        <v>1</v>
      </c>
      <c r="L64" s="5">
        <v>1</v>
      </c>
    </row>
    <row r="65" spans="5:12" x14ac:dyDescent="0.25">
      <c r="E65" s="5">
        <v>0</v>
      </c>
      <c r="F65" s="5">
        <v>12</v>
      </c>
      <c r="K65" s="5">
        <v>0</v>
      </c>
      <c r="L65" s="5">
        <v>1</v>
      </c>
    </row>
    <row r="66" spans="5:12" x14ac:dyDescent="0.25">
      <c r="E66" s="5">
        <v>12</v>
      </c>
      <c r="F66" s="5">
        <v>16</v>
      </c>
      <c r="K66" s="5">
        <v>2</v>
      </c>
      <c r="L66" s="5">
        <v>1</v>
      </c>
    </row>
    <row r="67" spans="5:12" x14ac:dyDescent="0.25">
      <c r="E67" s="5">
        <v>16</v>
      </c>
      <c r="F67" s="5">
        <v>23</v>
      </c>
      <c r="K67" s="5">
        <v>3</v>
      </c>
      <c r="L67" s="5">
        <v>1</v>
      </c>
    </row>
    <row r="68" spans="5:12" x14ac:dyDescent="0.25">
      <c r="E68" s="5">
        <v>3</v>
      </c>
      <c r="F68" s="5">
        <v>0</v>
      </c>
      <c r="K68" s="5">
        <v>1</v>
      </c>
      <c r="L68" s="5">
        <v>0</v>
      </c>
    </row>
    <row r="69" spans="5:12" x14ac:dyDescent="0.25">
      <c r="E69" s="5">
        <v>25</v>
      </c>
      <c r="F69" s="5">
        <v>0</v>
      </c>
      <c r="K69" s="5">
        <v>3</v>
      </c>
      <c r="L69" s="5">
        <v>0</v>
      </c>
    </row>
    <row r="70" spans="5:12" x14ac:dyDescent="0.25">
      <c r="E70" s="5">
        <v>18</v>
      </c>
      <c r="F70" s="5">
        <v>0</v>
      </c>
      <c r="K70" s="5">
        <v>1</v>
      </c>
      <c r="L70" s="5">
        <v>0</v>
      </c>
    </row>
    <row r="71" spans="5:12" x14ac:dyDescent="0.25">
      <c r="E71" s="5">
        <v>0</v>
      </c>
      <c r="F71" s="5">
        <v>1</v>
      </c>
      <c r="K71" s="5">
        <v>0</v>
      </c>
      <c r="L71" s="5">
        <v>1</v>
      </c>
    </row>
    <row r="72" spans="5:12" x14ac:dyDescent="0.25">
      <c r="E72" s="5">
        <v>17</v>
      </c>
      <c r="F72" s="5">
        <v>0</v>
      </c>
      <c r="K72" s="5">
        <v>2</v>
      </c>
      <c r="L72" s="5">
        <v>0</v>
      </c>
    </row>
    <row r="73" spans="5:12" x14ac:dyDescent="0.25">
      <c r="E73" s="5">
        <v>15</v>
      </c>
      <c r="F73" s="5">
        <v>0</v>
      </c>
      <c r="K73" s="5">
        <v>2</v>
      </c>
      <c r="L73" s="5">
        <v>0</v>
      </c>
    </row>
    <row r="74" spans="5:12" x14ac:dyDescent="0.25">
      <c r="E74" s="5">
        <v>3</v>
      </c>
      <c r="F74" s="5">
        <v>0</v>
      </c>
      <c r="K74" s="5">
        <v>2</v>
      </c>
      <c r="L74" s="5">
        <v>0</v>
      </c>
    </row>
    <row r="75" spans="5:12" x14ac:dyDescent="0.25">
      <c r="E75" s="5">
        <v>0</v>
      </c>
      <c r="F75" s="5">
        <v>2</v>
      </c>
      <c r="K75" s="5">
        <v>0</v>
      </c>
      <c r="L75" s="5">
        <v>1</v>
      </c>
    </row>
    <row r="76" spans="5:12" x14ac:dyDescent="0.25">
      <c r="E76" s="5">
        <v>12</v>
      </c>
      <c r="F76" s="5">
        <v>8</v>
      </c>
      <c r="K76" s="5">
        <v>2</v>
      </c>
      <c r="L76" s="5">
        <v>2</v>
      </c>
    </row>
    <row r="77" spans="5:12" x14ac:dyDescent="0.25">
      <c r="E77" s="5">
        <v>2</v>
      </c>
      <c r="F77" s="5">
        <v>0</v>
      </c>
      <c r="K77" s="5">
        <v>1</v>
      </c>
      <c r="L77" s="5">
        <v>0</v>
      </c>
    </row>
    <row r="78" spans="5:12" x14ac:dyDescent="0.25">
      <c r="E78" s="5">
        <v>0</v>
      </c>
      <c r="F78" s="5">
        <v>0</v>
      </c>
      <c r="K78" s="5">
        <v>1</v>
      </c>
      <c r="L78" s="5">
        <v>0</v>
      </c>
    </row>
    <row r="79" spans="5:12" x14ac:dyDescent="0.25">
      <c r="E79" s="5">
        <v>4</v>
      </c>
      <c r="F79" s="5">
        <v>5</v>
      </c>
      <c r="K79" s="5">
        <v>1</v>
      </c>
      <c r="L79" s="5">
        <v>1</v>
      </c>
    </row>
    <row r="80" spans="5:12" x14ac:dyDescent="0.25">
      <c r="E80" s="5">
        <v>0</v>
      </c>
      <c r="F80" s="5">
        <v>2</v>
      </c>
      <c r="K80" s="5">
        <v>0</v>
      </c>
      <c r="L80" s="5">
        <v>2</v>
      </c>
    </row>
    <row r="81" spans="5:12" x14ac:dyDescent="0.25">
      <c r="E81" s="5">
        <v>4</v>
      </c>
      <c r="F81" s="5">
        <v>8</v>
      </c>
      <c r="K81" s="5">
        <v>1</v>
      </c>
      <c r="L81" s="5">
        <v>1</v>
      </c>
    </row>
    <row r="82" spans="5:12" x14ac:dyDescent="0.25">
      <c r="E82" s="5">
        <v>8</v>
      </c>
      <c r="F82" s="5">
        <v>68</v>
      </c>
      <c r="K82" s="5">
        <v>1</v>
      </c>
      <c r="L82" s="5">
        <v>5</v>
      </c>
    </row>
    <row r="83" spans="5:12" x14ac:dyDescent="0.25">
      <c r="E83" s="5">
        <v>2</v>
      </c>
      <c r="F83" s="5">
        <v>0</v>
      </c>
      <c r="K83" s="5">
        <v>1</v>
      </c>
      <c r="L83" s="5">
        <v>0</v>
      </c>
    </row>
    <row r="84" spans="5:12" x14ac:dyDescent="0.25">
      <c r="E84" s="5">
        <v>0</v>
      </c>
      <c r="F84" s="5">
        <v>2</v>
      </c>
      <c r="K84" s="5">
        <v>0</v>
      </c>
      <c r="L84" s="5">
        <v>1</v>
      </c>
    </row>
    <row r="85" spans="5:12" x14ac:dyDescent="0.25">
      <c r="E85" s="5">
        <v>23</v>
      </c>
      <c r="F85" s="5">
        <v>10</v>
      </c>
      <c r="K85" s="5">
        <v>3</v>
      </c>
      <c r="L85" s="5">
        <v>2</v>
      </c>
    </row>
    <row r="86" spans="5:12" x14ac:dyDescent="0.25">
      <c r="E86" s="5">
        <v>0</v>
      </c>
      <c r="F86" s="5">
        <v>1</v>
      </c>
      <c r="K86" s="5">
        <v>0</v>
      </c>
      <c r="L86" s="5">
        <v>1</v>
      </c>
    </row>
    <row r="87" spans="5:12" x14ac:dyDescent="0.25">
      <c r="E87" s="5">
        <v>0</v>
      </c>
      <c r="F87" s="5">
        <v>25</v>
      </c>
      <c r="K87" s="5">
        <v>0</v>
      </c>
      <c r="L87" s="5">
        <v>1</v>
      </c>
    </row>
    <row r="88" spans="5:12" x14ac:dyDescent="0.25">
      <c r="E88" s="5">
        <v>16</v>
      </c>
      <c r="F88" s="5">
        <v>0</v>
      </c>
      <c r="K88" s="5">
        <v>1</v>
      </c>
      <c r="L88" s="5">
        <v>0</v>
      </c>
    </row>
    <row r="89" spans="5:12" x14ac:dyDescent="0.25">
      <c r="E89" s="5">
        <v>0</v>
      </c>
      <c r="F89" s="5">
        <v>0</v>
      </c>
      <c r="K89" s="5">
        <v>1</v>
      </c>
      <c r="L89" s="5">
        <v>0</v>
      </c>
    </row>
    <row r="90" spans="5:12" x14ac:dyDescent="0.25">
      <c r="E90" s="5">
        <v>8</v>
      </c>
      <c r="F90" s="5">
        <v>0</v>
      </c>
      <c r="K90" s="5">
        <v>0</v>
      </c>
      <c r="L90" s="5">
        <v>0</v>
      </c>
    </row>
    <row r="91" spans="5:12" x14ac:dyDescent="0.25">
      <c r="E91" s="5">
        <v>23</v>
      </c>
      <c r="F91" s="5">
        <v>0</v>
      </c>
      <c r="K91" s="5">
        <v>2</v>
      </c>
      <c r="L91" s="5">
        <v>0</v>
      </c>
    </row>
    <row r="92" spans="5:12" x14ac:dyDescent="0.25">
      <c r="E92" s="5">
        <v>0</v>
      </c>
      <c r="F92" s="5">
        <v>0</v>
      </c>
      <c r="K92" s="5">
        <v>1</v>
      </c>
      <c r="L92" s="5">
        <v>0</v>
      </c>
    </row>
    <row r="93" spans="5:12" x14ac:dyDescent="0.25">
      <c r="E93" s="5">
        <v>6</v>
      </c>
      <c r="F93" s="5">
        <v>0</v>
      </c>
      <c r="K93" s="5">
        <v>1</v>
      </c>
      <c r="L93" s="5">
        <v>0</v>
      </c>
    </row>
    <row r="94" spans="5:12" x14ac:dyDescent="0.25">
      <c r="E94" s="5">
        <v>0</v>
      </c>
      <c r="F94" s="5">
        <v>0</v>
      </c>
      <c r="K94" s="5">
        <v>1</v>
      </c>
      <c r="L94" s="5">
        <v>0</v>
      </c>
    </row>
    <row r="95" spans="5:12" x14ac:dyDescent="0.25">
      <c r="E95" s="5">
        <v>0</v>
      </c>
      <c r="F95" s="5">
        <v>4</v>
      </c>
      <c r="K95" s="5">
        <v>0</v>
      </c>
      <c r="L95" s="5">
        <v>1</v>
      </c>
    </row>
    <row r="96" spans="5:12" x14ac:dyDescent="0.25">
      <c r="E96" s="5">
        <v>14</v>
      </c>
      <c r="F96" s="5">
        <v>2</v>
      </c>
      <c r="K96" s="5">
        <v>2</v>
      </c>
      <c r="L96" s="5">
        <v>2</v>
      </c>
    </row>
    <row r="97" spans="5:12" x14ac:dyDescent="0.25">
      <c r="E97" s="5">
        <v>0</v>
      </c>
      <c r="F97" s="5">
        <v>15</v>
      </c>
      <c r="K97" s="5">
        <v>0</v>
      </c>
      <c r="L97" s="5">
        <v>6</v>
      </c>
    </row>
    <row r="98" spans="5:12" x14ac:dyDescent="0.25">
      <c r="E98" s="5">
        <v>3</v>
      </c>
      <c r="F98" s="5">
        <v>6</v>
      </c>
      <c r="K98" s="5">
        <v>2</v>
      </c>
      <c r="L98" s="5">
        <v>4</v>
      </c>
    </row>
    <row r="99" spans="5:12" x14ac:dyDescent="0.25">
      <c r="E99" s="5">
        <v>0</v>
      </c>
      <c r="F99" s="5">
        <v>4</v>
      </c>
      <c r="K99" s="5">
        <v>0</v>
      </c>
      <c r="L99" s="5">
        <v>3</v>
      </c>
    </row>
    <row r="100" spans="5:12" x14ac:dyDescent="0.25">
      <c r="E100" s="5">
        <v>0</v>
      </c>
      <c r="F100" s="5">
        <v>6</v>
      </c>
      <c r="K100" s="5">
        <v>0</v>
      </c>
      <c r="L100" s="5">
        <v>2</v>
      </c>
    </row>
    <row r="101" spans="5:12" x14ac:dyDescent="0.25">
      <c r="E101" s="5">
        <v>249</v>
      </c>
      <c r="F101" s="5">
        <v>10</v>
      </c>
      <c r="K101" s="5">
        <v>10</v>
      </c>
      <c r="L101" s="5">
        <v>5</v>
      </c>
    </row>
    <row r="102" spans="5:12" x14ac:dyDescent="0.25">
      <c r="E102" s="5">
        <v>3</v>
      </c>
      <c r="F102" s="5">
        <v>0</v>
      </c>
      <c r="K102" s="5">
        <v>1</v>
      </c>
      <c r="L102" s="5">
        <v>0</v>
      </c>
    </row>
    <row r="103" spans="5:12" x14ac:dyDescent="0.25">
      <c r="E103" s="5">
        <v>0</v>
      </c>
      <c r="F103" s="5">
        <v>2</v>
      </c>
      <c r="K103" s="5">
        <v>2</v>
      </c>
      <c r="L103" s="5">
        <v>2</v>
      </c>
    </row>
    <row r="104" spans="5:12" x14ac:dyDescent="0.25">
      <c r="E104" s="5">
        <v>0</v>
      </c>
      <c r="F104" s="5">
        <v>37</v>
      </c>
      <c r="K104" s="5">
        <v>0</v>
      </c>
      <c r="L104" s="5">
        <v>4</v>
      </c>
    </row>
    <row r="105" spans="5:12" x14ac:dyDescent="0.25">
      <c r="E105" s="5">
        <v>7</v>
      </c>
      <c r="F105" s="5">
        <v>0</v>
      </c>
      <c r="K105" s="5">
        <v>2</v>
      </c>
      <c r="L105" s="5">
        <v>0</v>
      </c>
    </row>
    <row r="106" spans="5:12" x14ac:dyDescent="0.25">
      <c r="E106" s="5">
        <v>2</v>
      </c>
      <c r="F106" s="5">
        <v>0</v>
      </c>
      <c r="K106" s="5">
        <v>1</v>
      </c>
      <c r="L106" s="5">
        <v>0</v>
      </c>
    </row>
    <row r="107" spans="5:12" x14ac:dyDescent="0.25">
      <c r="E107" s="5">
        <v>15</v>
      </c>
      <c r="F107" s="5">
        <v>2</v>
      </c>
      <c r="K107" s="5">
        <v>3</v>
      </c>
      <c r="L107" s="5">
        <v>1</v>
      </c>
    </row>
    <row r="108" spans="5:12" x14ac:dyDescent="0.25">
      <c r="E108" s="5">
        <v>6</v>
      </c>
      <c r="F108" s="5">
        <v>6</v>
      </c>
      <c r="K108" s="5">
        <v>0</v>
      </c>
      <c r="L108" s="5">
        <v>0</v>
      </c>
    </row>
    <row r="109" spans="5:12" x14ac:dyDescent="0.25">
      <c r="E109" s="5">
        <v>2</v>
      </c>
      <c r="F109" s="5">
        <v>0</v>
      </c>
      <c r="K109" s="5">
        <v>1</v>
      </c>
      <c r="L109" s="5">
        <v>0</v>
      </c>
    </row>
    <row r="110" spans="5:12" x14ac:dyDescent="0.25">
      <c r="E110" s="5">
        <v>1</v>
      </c>
      <c r="F110" s="5">
        <v>7</v>
      </c>
      <c r="K110" s="5">
        <v>1</v>
      </c>
      <c r="L110" s="5">
        <v>1</v>
      </c>
    </row>
    <row r="111" spans="5:12" x14ac:dyDescent="0.25">
      <c r="E111" s="5">
        <v>0</v>
      </c>
      <c r="F111" s="5">
        <v>9</v>
      </c>
      <c r="K111" s="5">
        <v>0</v>
      </c>
      <c r="L111" s="5">
        <v>2</v>
      </c>
    </row>
    <row r="112" spans="5:12" x14ac:dyDescent="0.25">
      <c r="E112" s="5">
        <v>0</v>
      </c>
      <c r="F112" s="5">
        <v>2</v>
      </c>
      <c r="K112" s="5">
        <v>0</v>
      </c>
      <c r="L112" s="5">
        <v>1</v>
      </c>
    </row>
    <row r="113" spans="5:12" x14ac:dyDescent="0.25">
      <c r="E113" s="5">
        <v>33</v>
      </c>
      <c r="F113" s="5">
        <v>0</v>
      </c>
      <c r="K113" s="5">
        <v>5</v>
      </c>
      <c r="L113" s="5">
        <v>0</v>
      </c>
    </row>
    <row r="114" spans="5:12" x14ac:dyDescent="0.25">
      <c r="E114" s="5">
        <v>2</v>
      </c>
      <c r="F114" s="5">
        <v>0</v>
      </c>
      <c r="K114" s="5">
        <v>2</v>
      </c>
      <c r="L114" s="5">
        <v>1</v>
      </c>
    </row>
    <row r="115" spans="5:12" x14ac:dyDescent="0.25">
      <c r="E115" s="5">
        <v>1</v>
      </c>
      <c r="F115" s="5">
        <v>0</v>
      </c>
      <c r="K115" s="5">
        <v>1</v>
      </c>
      <c r="L115" s="5">
        <v>0</v>
      </c>
    </row>
    <row r="116" spans="5:12" x14ac:dyDescent="0.25">
      <c r="E116" s="5">
        <v>35</v>
      </c>
      <c r="F116" s="5">
        <v>11</v>
      </c>
      <c r="K116" s="5">
        <v>1</v>
      </c>
      <c r="L116" s="5">
        <v>1</v>
      </c>
    </row>
    <row r="117" spans="5:12" x14ac:dyDescent="0.25">
      <c r="E117" s="5">
        <v>2</v>
      </c>
      <c r="F117" s="5">
        <v>1</v>
      </c>
      <c r="K117" s="5">
        <v>1</v>
      </c>
      <c r="L117" s="5">
        <v>1</v>
      </c>
    </row>
    <row r="118" spans="5:12" x14ac:dyDescent="0.25">
      <c r="E118" s="5">
        <v>2</v>
      </c>
      <c r="F118" s="5">
        <v>14</v>
      </c>
      <c r="K118" s="5">
        <v>2</v>
      </c>
      <c r="L118" s="5">
        <v>3</v>
      </c>
    </row>
    <row r="119" spans="5:12" x14ac:dyDescent="0.25">
      <c r="E119" s="5">
        <v>5</v>
      </c>
      <c r="F119" s="5">
        <v>0</v>
      </c>
      <c r="K119" s="5">
        <v>1</v>
      </c>
      <c r="L119" s="5">
        <v>0</v>
      </c>
    </row>
    <row r="120" spans="5:12" x14ac:dyDescent="0.25">
      <c r="E120" s="5">
        <v>1</v>
      </c>
      <c r="F120" s="5">
        <v>7</v>
      </c>
      <c r="K120" s="5">
        <v>1</v>
      </c>
      <c r="L120" s="5">
        <v>2</v>
      </c>
    </row>
    <row r="121" spans="5:12" x14ac:dyDescent="0.25">
      <c r="E121" s="5">
        <v>1</v>
      </c>
      <c r="F121" s="5">
        <v>3</v>
      </c>
      <c r="K121" s="5">
        <v>1</v>
      </c>
      <c r="L121" s="5">
        <v>1</v>
      </c>
    </row>
    <row r="122" spans="5:12" x14ac:dyDescent="0.25">
      <c r="E122" s="5">
        <v>0</v>
      </c>
      <c r="F122" s="5">
        <v>3</v>
      </c>
      <c r="K122" s="5">
        <v>0</v>
      </c>
      <c r="L122" s="5">
        <v>1</v>
      </c>
    </row>
    <row r="123" spans="5:12" x14ac:dyDescent="0.25">
      <c r="E123" s="5">
        <v>1</v>
      </c>
      <c r="F123" s="5">
        <v>15</v>
      </c>
      <c r="K123" s="5">
        <v>1</v>
      </c>
      <c r="L123" s="5">
        <v>3</v>
      </c>
    </row>
    <row r="124" spans="5:12" x14ac:dyDescent="0.25">
      <c r="E124" s="5">
        <v>1</v>
      </c>
      <c r="F124" s="5">
        <v>0</v>
      </c>
      <c r="K124" s="5">
        <v>1</v>
      </c>
      <c r="L124" s="5">
        <v>0</v>
      </c>
    </row>
    <row r="125" spans="5:12" x14ac:dyDescent="0.25">
      <c r="E125" s="5">
        <v>0</v>
      </c>
      <c r="F125" s="5">
        <v>3</v>
      </c>
      <c r="K125" s="5">
        <v>0</v>
      </c>
      <c r="L125" s="5">
        <v>3</v>
      </c>
    </row>
    <row r="126" spans="5:12" x14ac:dyDescent="0.25">
      <c r="E126" s="5">
        <v>10</v>
      </c>
      <c r="F126" s="5">
        <v>2</v>
      </c>
      <c r="K126" s="5">
        <v>3</v>
      </c>
      <c r="L126" s="5">
        <v>1</v>
      </c>
    </row>
    <row r="127" spans="5:12" x14ac:dyDescent="0.25">
      <c r="E127" s="5">
        <v>7</v>
      </c>
      <c r="F127" s="5">
        <v>3</v>
      </c>
      <c r="K127" s="5">
        <v>2</v>
      </c>
      <c r="L127" s="5">
        <v>1</v>
      </c>
    </row>
    <row r="128" spans="5:12" x14ac:dyDescent="0.25">
      <c r="E128" s="5">
        <v>1</v>
      </c>
      <c r="F128" s="5">
        <v>0</v>
      </c>
      <c r="K128" s="5">
        <v>1</v>
      </c>
      <c r="L128" s="5">
        <v>0</v>
      </c>
    </row>
    <row r="129" spans="5:12" x14ac:dyDescent="0.25">
      <c r="E129" s="5">
        <v>14</v>
      </c>
      <c r="F129" s="5">
        <v>0</v>
      </c>
      <c r="K129" s="5">
        <v>1</v>
      </c>
      <c r="L129" s="5">
        <v>0</v>
      </c>
    </row>
    <row r="130" spans="5:12" x14ac:dyDescent="0.25">
      <c r="E130" s="5">
        <v>0</v>
      </c>
      <c r="F130" s="5">
        <v>0</v>
      </c>
      <c r="K130" s="5">
        <v>1</v>
      </c>
      <c r="L130" s="5">
        <v>0</v>
      </c>
    </row>
    <row r="131" spans="5:12" x14ac:dyDescent="0.25">
      <c r="E131" s="5">
        <v>0</v>
      </c>
      <c r="F131" s="5">
        <v>7</v>
      </c>
      <c r="K131" s="5">
        <v>0</v>
      </c>
      <c r="L131" s="5">
        <v>1</v>
      </c>
    </row>
    <row r="132" spans="5:12" x14ac:dyDescent="0.25">
      <c r="E132" s="5">
        <v>1</v>
      </c>
      <c r="F132" s="5">
        <v>3</v>
      </c>
      <c r="K132" s="5">
        <v>2</v>
      </c>
      <c r="L132" s="5">
        <v>1</v>
      </c>
    </row>
    <row r="133" spans="5:12" x14ac:dyDescent="0.25">
      <c r="E133" s="5">
        <v>49</v>
      </c>
      <c r="F133" s="5">
        <v>0</v>
      </c>
      <c r="K133" s="5">
        <v>6</v>
      </c>
      <c r="L133" s="5">
        <v>0</v>
      </c>
    </row>
    <row r="134" spans="5:12" x14ac:dyDescent="0.25">
      <c r="E134" s="5">
        <v>41</v>
      </c>
      <c r="F134" s="5">
        <v>0</v>
      </c>
      <c r="K134" s="5">
        <v>5</v>
      </c>
      <c r="L134" s="5">
        <v>0</v>
      </c>
    </row>
    <row r="135" spans="5:12" x14ac:dyDescent="0.25">
      <c r="E135" s="5">
        <v>35</v>
      </c>
      <c r="F135" s="5">
        <v>0</v>
      </c>
      <c r="K135" s="5">
        <v>3</v>
      </c>
      <c r="L135" s="5">
        <v>0</v>
      </c>
    </row>
    <row r="136" spans="5:12" x14ac:dyDescent="0.25">
      <c r="E136" s="5">
        <v>1</v>
      </c>
      <c r="F136" s="5">
        <v>12</v>
      </c>
      <c r="K136" s="5">
        <v>5</v>
      </c>
      <c r="L136" s="5">
        <v>9</v>
      </c>
    </row>
    <row r="137" spans="5:12" x14ac:dyDescent="0.25">
      <c r="E137" s="5">
        <v>4</v>
      </c>
      <c r="F137" s="5">
        <v>0</v>
      </c>
      <c r="K137" s="5">
        <v>4</v>
      </c>
      <c r="L137" s="5">
        <v>0</v>
      </c>
    </row>
    <row r="138" spans="5:12" x14ac:dyDescent="0.25">
      <c r="E138" s="5">
        <v>3</v>
      </c>
      <c r="F138" s="5">
        <v>1</v>
      </c>
      <c r="K138" s="5">
        <v>6</v>
      </c>
      <c r="L138" s="5">
        <v>2</v>
      </c>
    </row>
    <row r="139" spans="5:12" x14ac:dyDescent="0.25">
      <c r="E139" s="5">
        <v>0</v>
      </c>
      <c r="F139" s="5">
        <v>3</v>
      </c>
      <c r="K139" s="5">
        <v>0</v>
      </c>
      <c r="L139" s="5">
        <v>1</v>
      </c>
    </row>
    <row r="140" spans="5:12" x14ac:dyDescent="0.25">
      <c r="E140" s="5">
        <v>0</v>
      </c>
      <c r="F140" s="5">
        <v>2</v>
      </c>
      <c r="K140" s="5">
        <v>0</v>
      </c>
      <c r="L140" s="5">
        <v>1</v>
      </c>
    </row>
    <row r="141" spans="5:12" x14ac:dyDescent="0.25">
      <c r="E141" s="5">
        <v>0</v>
      </c>
      <c r="F141" s="5">
        <v>1</v>
      </c>
      <c r="K141" s="5">
        <v>0</v>
      </c>
      <c r="L141" s="5">
        <v>1</v>
      </c>
    </row>
    <row r="142" spans="5:12" x14ac:dyDescent="0.25">
      <c r="E142" s="5">
        <v>1</v>
      </c>
      <c r="F142" s="5">
        <v>4</v>
      </c>
      <c r="K142" s="5">
        <v>3</v>
      </c>
      <c r="L142" s="5">
        <v>3</v>
      </c>
    </row>
    <row r="143" spans="5:12" x14ac:dyDescent="0.25">
      <c r="E143" s="5">
        <v>16</v>
      </c>
      <c r="F143" s="5">
        <v>0</v>
      </c>
      <c r="K143" s="5">
        <v>4</v>
      </c>
      <c r="L143" s="5">
        <v>0</v>
      </c>
    </row>
    <row r="144" spans="5:12" x14ac:dyDescent="0.25">
      <c r="E144" s="5">
        <v>1</v>
      </c>
      <c r="F144" s="5">
        <v>0</v>
      </c>
      <c r="K144" s="5">
        <v>1</v>
      </c>
      <c r="L144" s="5">
        <v>0</v>
      </c>
    </row>
    <row r="145" spans="5:12" x14ac:dyDescent="0.25">
      <c r="E145" s="5">
        <v>1</v>
      </c>
      <c r="F145" s="5">
        <v>0</v>
      </c>
      <c r="K145" s="5">
        <v>1</v>
      </c>
      <c r="L145" s="5">
        <v>0</v>
      </c>
    </row>
    <row r="146" spans="5:12" x14ac:dyDescent="0.25">
      <c r="E146" s="5">
        <v>1</v>
      </c>
      <c r="F146" s="5">
        <v>0</v>
      </c>
      <c r="K146" s="5">
        <v>1</v>
      </c>
      <c r="L146" s="5">
        <v>0</v>
      </c>
    </row>
    <row r="147" spans="5:12" x14ac:dyDescent="0.25">
      <c r="E147" s="5">
        <v>0</v>
      </c>
      <c r="F147" s="5">
        <v>0</v>
      </c>
      <c r="K147" s="5">
        <v>0</v>
      </c>
      <c r="L147" s="5">
        <v>1</v>
      </c>
    </row>
    <row r="148" spans="5:12" x14ac:dyDescent="0.25">
      <c r="E148" s="5">
        <v>0</v>
      </c>
      <c r="F148" s="5">
        <v>1</v>
      </c>
      <c r="K148" s="5">
        <v>2</v>
      </c>
      <c r="L148" s="5">
        <v>1</v>
      </c>
    </row>
    <row r="149" spans="5:12" x14ac:dyDescent="0.25">
      <c r="E149" s="5">
        <v>3</v>
      </c>
      <c r="F149" s="5">
        <v>0</v>
      </c>
      <c r="K149" s="5">
        <v>1</v>
      </c>
      <c r="L149" s="5">
        <v>1</v>
      </c>
    </row>
    <row r="150" spans="5:12" x14ac:dyDescent="0.25">
      <c r="E150" s="5">
        <v>0</v>
      </c>
      <c r="F150" s="5">
        <v>2</v>
      </c>
      <c r="K150" s="5">
        <v>0</v>
      </c>
      <c r="L150" s="5">
        <v>3</v>
      </c>
    </row>
    <row r="151" spans="5:12" x14ac:dyDescent="0.25">
      <c r="E151" s="5">
        <v>0</v>
      </c>
      <c r="F151" s="5">
        <v>4</v>
      </c>
      <c r="K151" s="5">
        <v>0</v>
      </c>
      <c r="L151" s="5">
        <v>5</v>
      </c>
    </row>
    <row r="152" spans="5:12" x14ac:dyDescent="0.25">
      <c r="E152" s="5">
        <v>5</v>
      </c>
      <c r="F152" s="5">
        <v>2</v>
      </c>
      <c r="K152" s="5">
        <v>1</v>
      </c>
      <c r="L152" s="5">
        <v>2</v>
      </c>
    </row>
    <row r="262" spans="16:16" x14ac:dyDescent="0.25">
      <c r="P262"/>
    </row>
    <row r="263" spans="16:16" x14ac:dyDescent="0.25">
      <c r="P263"/>
    </row>
    <row r="264" spans="16:16" x14ac:dyDescent="0.25">
      <c r="P264"/>
    </row>
    <row r="265" spans="16:16" x14ac:dyDescent="0.25">
      <c r="P265"/>
    </row>
    <row r="266" spans="16:16" x14ac:dyDescent="0.25">
      <c r="P266"/>
    </row>
    <row r="267" spans="16:16" x14ac:dyDescent="0.25">
      <c r="P267"/>
    </row>
    <row r="268" spans="16:16" x14ac:dyDescent="0.25">
      <c r="P268"/>
    </row>
    <row r="269" spans="16:16" x14ac:dyDescent="0.25">
      <c r="P269"/>
    </row>
    <row r="270" spans="16:16" x14ac:dyDescent="0.25">
      <c r="P270"/>
    </row>
    <row r="271" spans="16:16" x14ac:dyDescent="0.25">
      <c r="P271"/>
    </row>
    <row r="272" spans="16:16" x14ac:dyDescent="0.25">
      <c r="P272"/>
    </row>
    <row r="273" spans="14:16" x14ac:dyDescent="0.25">
      <c r="P273"/>
    </row>
    <row r="274" spans="14:16" x14ac:dyDescent="0.25">
      <c r="P274"/>
    </row>
    <row r="275" spans="14:16" x14ac:dyDescent="0.25">
      <c r="P275"/>
    </row>
    <row r="276" spans="14:16" x14ac:dyDescent="0.25">
      <c r="P276"/>
    </row>
    <row r="277" spans="14:16" x14ac:dyDescent="0.25">
      <c r="P277"/>
    </row>
    <row r="278" spans="14:16" x14ac:dyDescent="0.25">
      <c r="P278"/>
    </row>
    <row r="279" spans="14:16" x14ac:dyDescent="0.25">
      <c r="P279"/>
    </row>
    <row r="280" spans="14:16" x14ac:dyDescent="0.25">
      <c r="P280"/>
    </row>
    <row r="281" spans="14:16" x14ac:dyDescent="0.25">
      <c r="P281"/>
    </row>
    <row r="282" spans="14:16" x14ac:dyDescent="0.25">
      <c r="P282"/>
    </row>
    <row r="283" spans="14:16" x14ac:dyDescent="0.25">
      <c r="P283"/>
    </row>
    <row r="284" spans="14:16" x14ac:dyDescent="0.25">
      <c r="N284"/>
      <c r="P284"/>
    </row>
    <row r="285" spans="14:16" x14ac:dyDescent="0.25">
      <c r="N285"/>
      <c r="P285"/>
    </row>
    <row r="286" spans="14:16" x14ac:dyDescent="0.25">
      <c r="N286"/>
      <c r="P286"/>
    </row>
    <row r="287" spans="14:16" x14ac:dyDescent="0.25">
      <c r="N287"/>
      <c r="P287"/>
    </row>
    <row r="288" spans="14:16" x14ac:dyDescent="0.25">
      <c r="N288"/>
      <c r="P288"/>
    </row>
    <row r="289" spans="14:16" x14ac:dyDescent="0.25">
      <c r="N289"/>
      <c r="P289"/>
    </row>
    <row r="290" spans="14:16" x14ac:dyDescent="0.25">
      <c r="N290"/>
      <c r="P290"/>
    </row>
    <row r="291" spans="14:16" x14ac:dyDescent="0.25">
      <c r="N291"/>
      <c r="P291"/>
    </row>
    <row r="292" spans="14:16" x14ac:dyDescent="0.25">
      <c r="N292"/>
      <c r="P292"/>
    </row>
    <row r="293" spans="14:16" x14ac:dyDescent="0.25">
      <c r="N293"/>
      <c r="P293"/>
    </row>
    <row r="294" spans="14:16" x14ac:dyDescent="0.25">
      <c r="N294"/>
      <c r="P294"/>
    </row>
    <row r="295" spans="14:16" x14ac:dyDescent="0.25">
      <c r="N295"/>
      <c r="P295"/>
    </row>
    <row r="296" spans="14:16" x14ac:dyDescent="0.25">
      <c r="N296"/>
      <c r="P296"/>
    </row>
    <row r="297" spans="14:16" x14ac:dyDescent="0.25">
      <c r="N297"/>
      <c r="P297"/>
    </row>
    <row r="298" spans="14:16" x14ac:dyDescent="0.25">
      <c r="N298"/>
      <c r="P298"/>
    </row>
    <row r="299" spans="14:16" x14ac:dyDescent="0.25">
      <c r="N299"/>
      <c r="P299"/>
    </row>
    <row r="300" spans="14:16" x14ac:dyDescent="0.25">
      <c r="N300"/>
      <c r="P300"/>
    </row>
    <row r="301" spans="14:16" x14ac:dyDescent="0.25">
      <c r="N301"/>
      <c r="P301"/>
    </row>
    <row r="302" spans="14:16" x14ac:dyDescent="0.25">
      <c r="N302"/>
      <c r="P302"/>
    </row>
    <row r="303" spans="14:16" x14ac:dyDescent="0.25">
      <c r="N303"/>
      <c r="P303"/>
    </row>
    <row r="304" spans="14:16" x14ac:dyDescent="0.25">
      <c r="N304"/>
      <c r="P304"/>
    </row>
    <row r="305" spans="14:16" x14ac:dyDescent="0.25">
      <c r="N305"/>
      <c r="P305"/>
    </row>
    <row r="306" spans="14:16" x14ac:dyDescent="0.25">
      <c r="N306"/>
      <c r="P306"/>
    </row>
    <row r="307" spans="14:16" x14ac:dyDescent="0.25">
      <c r="N307"/>
      <c r="P307"/>
    </row>
    <row r="308" spans="14:16" x14ac:dyDescent="0.25">
      <c r="N308"/>
      <c r="P308"/>
    </row>
    <row r="309" spans="14:16" x14ac:dyDescent="0.25">
      <c r="N309"/>
      <c r="P309"/>
    </row>
    <row r="310" spans="14:16" x14ac:dyDescent="0.25">
      <c r="N310"/>
      <c r="P310"/>
    </row>
    <row r="311" spans="14:16" x14ac:dyDescent="0.25">
      <c r="N311"/>
      <c r="P311"/>
    </row>
    <row r="312" spans="14:16" x14ac:dyDescent="0.25">
      <c r="N312"/>
      <c r="P312"/>
    </row>
    <row r="313" spans="14:16" x14ac:dyDescent="0.25">
      <c r="N313"/>
      <c r="P313"/>
    </row>
    <row r="314" spans="14:16" x14ac:dyDescent="0.25">
      <c r="N314"/>
      <c r="P314"/>
    </row>
    <row r="315" spans="14:16" x14ac:dyDescent="0.25">
      <c r="N315"/>
      <c r="P315"/>
    </row>
    <row r="316" spans="14:16" x14ac:dyDescent="0.25">
      <c r="N316"/>
      <c r="P316"/>
    </row>
    <row r="317" spans="14:16" x14ac:dyDescent="0.25">
      <c r="N317"/>
    </row>
    <row r="318" spans="14:16" x14ac:dyDescent="0.25">
      <c r="N318"/>
    </row>
    <row r="319" spans="14:16" x14ac:dyDescent="0.25">
      <c r="N319"/>
    </row>
    <row r="320" spans="14:16" x14ac:dyDescent="0.25">
      <c r="N320"/>
    </row>
    <row r="321" spans="14:14" x14ac:dyDescent="0.25">
      <c r="N321"/>
    </row>
    <row r="322" spans="14:14" x14ac:dyDescent="0.25">
      <c r="N322"/>
    </row>
    <row r="323" spans="14:14" x14ac:dyDescent="0.25">
      <c r="N323"/>
    </row>
    <row r="324" spans="14:14" x14ac:dyDescent="0.25">
      <c r="N324"/>
    </row>
    <row r="325" spans="14:14" x14ac:dyDescent="0.25">
      <c r="N325"/>
    </row>
    <row r="326" spans="14:14" x14ac:dyDescent="0.25">
      <c r="N326"/>
    </row>
    <row r="327" spans="14:14" x14ac:dyDescent="0.25">
      <c r="N327"/>
    </row>
    <row r="328" spans="14:14" x14ac:dyDescent="0.25">
      <c r="N328"/>
    </row>
    <row r="329" spans="14:14" x14ac:dyDescent="0.25">
      <c r="N329"/>
    </row>
    <row r="330" spans="14:14" x14ac:dyDescent="0.25">
      <c r="N330"/>
    </row>
    <row r="331" spans="14:14" x14ac:dyDescent="0.25">
      <c r="N331"/>
    </row>
    <row r="332" spans="14:14" x14ac:dyDescent="0.25">
      <c r="N332"/>
    </row>
    <row r="333" spans="14:14" x14ac:dyDescent="0.25">
      <c r="N333"/>
    </row>
    <row r="334" spans="14:14" x14ac:dyDescent="0.25">
      <c r="N334"/>
    </row>
    <row r="335" spans="14:14" x14ac:dyDescent="0.25">
      <c r="N335"/>
    </row>
    <row r="336" spans="14:14" x14ac:dyDescent="0.25">
      <c r="N336"/>
    </row>
    <row r="337" spans="14:14" x14ac:dyDescent="0.25">
      <c r="N337"/>
    </row>
    <row r="338" spans="14:14" x14ac:dyDescent="0.25">
      <c r="N338"/>
    </row>
    <row r="399" spans="12:12" x14ac:dyDescent="0.25">
      <c r="L399"/>
    </row>
    <row r="400" spans="12:12" x14ac:dyDescent="0.25">
      <c r="L400"/>
    </row>
    <row r="401" spans="12:12" x14ac:dyDescent="0.25">
      <c r="L401"/>
    </row>
    <row r="402" spans="12:12" x14ac:dyDescent="0.25">
      <c r="L402"/>
    </row>
    <row r="403" spans="12:12" x14ac:dyDescent="0.25">
      <c r="L403"/>
    </row>
    <row r="404" spans="12:12" x14ac:dyDescent="0.25">
      <c r="L404"/>
    </row>
    <row r="405" spans="12:12" x14ac:dyDescent="0.25">
      <c r="L405"/>
    </row>
    <row r="406" spans="12:12" x14ac:dyDescent="0.25">
      <c r="L406"/>
    </row>
    <row r="407" spans="12:12" x14ac:dyDescent="0.25">
      <c r="L407"/>
    </row>
    <row r="408" spans="12:12" x14ac:dyDescent="0.25">
      <c r="L408"/>
    </row>
    <row r="409" spans="12:12" x14ac:dyDescent="0.25">
      <c r="L409"/>
    </row>
    <row r="410" spans="12:12" x14ac:dyDescent="0.25">
      <c r="L410"/>
    </row>
    <row r="411" spans="12:12" x14ac:dyDescent="0.25">
      <c r="L411"/>
    </row>
    <row r="412" spans="12:12" x14ac:dyDescent="0.25">
      <c r="L412"/>
    </row>
    <row r="413" spans="12:12" x14ac:dyDescent="0.25">
      <c r="L413"/>
    </row>
    <row r="414" spans="12:12" x14ac:dyDescent="0.25">
      <c r="L414"/>
    </row>
    <row r="415" spans="12:12" x14ac:dyDescent="0.25">
      <c r="L415"/>
    </row>
    <row r="416" spans="12:12" x14ac:dyDescent="0.25">
      <c r="L416"/>
    </row>
    <row r="417" spans="12:12" x14ac:dyDescent="0.25">
      <c r="L417"/>
    </row>
    <row r="418" spans="12:12" x14ac:dyDescent="0.25">
      <c r="L418"/>
    </row>
    <row r="419" spans="12:12" x14ac:dyDescent="0.25">
      <c r="L419"/>
    </row>
    <row r="420" spans="12:12" x14ac:dyDescent="0.25">
      <c r="L420"/>
    </row>
    <row r="421" spans="12:12" x14ac:dyDescent="0.25">
      <c r="L421"/>
    </row>
    <row r="422" spans="12:12" x14ac:dyDescent="0.25">
      <c r="L422"/>
    </row>
    <row r="423" spans="12:12" x14ac:dyDescent="0.25">
      <c r="L423"/>
    </row>
    <row r="424" spans="12:12" x14ac:dyDescent="0.25">
      <c r="L424"/>
    </row>
    <row r="425" spans="12:12" x14ac:dyDescent="0.25">
      <c r="L425"/>
    </row>
    <row r="426" spans="12:12" x14ac:dyDescent="0.25">
      <c r="L426"/>
    </row>
    <row r="427" spans="12:12" x14ac:dyDescent="0.25">
      <c r="L427"/>
    </row>
    <row r="428" spans="12:12" x14ac:dyDescent="0.25">
      <c r="L428"/>
    </row>
    <row r="429" spans="12:12" x14ac:dyDescent="0.25">
      <c r="L429"/>
    </row>
    <row r="430" spans="12:12" x14ac:dyDescent="0.25">
      <c r="L430"/>
    </row>
    <row r="431" spans="12:12" x14ac:dyDescent="0.25">
      <c r="L431"/>
    </row>
    <row r="432" spans="12:12" x14ac:dyDescent="0.25">
      <c r="L432"/>
    </row>
    <row r="433" spans="12:12" x14ac:dyDescent="0.25">
      <c r="L433"/>
    </row>
    <row r="434" spans="12:12" x14ac:dyDescent="0.25">
      <c r="L434"/>
    </row>
    <row r="435" spans="12:12" x14ac:dyDescent="0.25">
      <c r="L435"/>
    </row>
    <row r="436" spans="12:12" x14ac:dyDescent="0.25">
      <c r="L436"/>
    </row>
    <row r="437" spans="12:12" x14ac:dyDescent="0.25">
      <c r="L437"/>
    </row>
    <row r="438" spans="12:12" x14ac:dyDescent="0.25">
      <c r="L438"/>
    </row>
    <row r="439" spans="12:12" x14ac:dyDescent="0.25">
      <c r="L439"/>
    </row>
    <row r="440" spans="12:12" x14ac:dyDescent="0.25">
      <c r="L440"/>
    </row>
    <row r="441" spans="12:12" x14ac:dyDescent="0.25">
      <c r="L441"/>
    </row>
    <row r="442" spans="12:12" x14ac:dyDescent="0.25">
      <c r="L442"/>
    </row>
    <row r="443" spans="12:12" x14ac:dyDescent="0.25">
      <c r="L443"/>
    </row>
    <row r="444" spans="12:12" x14ac:dyDescent="0.25">
      <c r="L444"/>
    </row>
    <row r="445" spans="12:12" x14ac:dyDescent="0.25">
      <c r="L445"/>
    </row>
    <row r="446" spans="12:12" x14ac:dyDescent="0.25">
      <c r="L446"/>
    </row>
    <row r="447" spans="12:12" x14ac:dyDescent="0.25">
      <c r="L447"/>
    </row>
    <row r="448" spans="12:12" x14ac:dyDescent="0.25">
      <c r="L448"/>
    </row>
    <row r="449" spans="12:12" x14ac:dyDescent="0.25">
      <c r="L449"/>
    </row>
    <row r="450" spans="12:12" x14ac:dyDescent="0.25">
      <c r="L450"/>
    </row>
    <row r="451" spans="12:12" x14ac:dyDescent="0.25">
      <c r="L451"/>
    </row>
    <row r="452" spans="12:12" x14ac:dyDescent="0.25">
      <c r="L452"/>
    </row>
    <row r="453" spans="12:12" x14ac:dyDescent="0.25">
      <c r="L453"/>
    </row>
  </sheetData>
  <mergeCells count="5">
    <mergeCell ref="A3:A5"/>
    <mergeCell ref="A6:A8"/>
    <mergeCell ref="A2:D2"/>
    <mergeCell ref="E1:J1"/>
    <mergeCell ref="K1:P1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9" zoomScale="85" zoomScaleNormal="85" workbookViewId="0">
      <selection activeCell="Q77" sqref="Q7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Q23" sqref="Q2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0" zoomScale="80" zoomScaleNormal="80" workbookViewId="0">
      <selection activeCell="T62" sqref="T6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28" workbookViewId="0">
      <selection activeCell="I2" sqref="I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3" zoomScaleNormal="100" workbookViewId="0">
      <selection activeCell="P96" sqref="P9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7" workbookViewId="0">
      <selection activeCell="G47" sqref="G4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1" workbookViewId="0">
      <selection activeCell="P21" sqref="P2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8"/>
  <sheetViews>
    <sheetView topLeftCell="G25" workbookViewId="0">
      <selection activeCell="I48" sqref="I48"/>
    </sheetView>
  </sheetViews>
  <sheetFormatPr baseColWidth="10" defaultRowHeight="15" x14ac:dyDescent="0.25"/>
  <sheetData>
    <row r="28" ht="14.2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Indicadores</vt:lpstr>
      <vt:lpstr>Gráficos totales</vt:lpstr>
      <vt:lpstr>Gráficos Escuelas</vt:lpstr>
      <vt:lpstr>Gráficos Programas Salud</vt:lpstr>
      <vt:lpstr>Salud</vt:lpstr>
      <vt:lpstr>Gráficos Programas TIC</vt:lpstr>
      <vt:lpstr>TIC</vt:lpstr>
      <vt:lpstr>Gráficos Programas CCSS</vt:lpstr>
      <vt:lpstr>CCSS</vt:lpstr>
      <vt:lpstr>Estudio correlación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2018-07-16T06:16:54Z</dcterms:created>
  <dcterms:modified xsi:type="dcterms:W3CDTF">2018-10-08T11:54:58Z</dcterms:modified>
</cp:coreProperties>
</file>