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Ex1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Ex2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drawings/drawing2.xml" ContentType="application/vnd.openxmlformats-officedocument.drawing+xml"/>
  <Override PartName="/xl/charts/chart1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18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19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2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2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.xml" ContentType="application/vnd.openxmlformats-officedocument.drawing+xml"/>
  <Override PartName="/xl/charts/chart3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2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3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3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.xml" ContentType="application/vnd.openxmlformats-officedocument.drawing+xml"/>
  <Override PartName="/xl/charts/chart4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5.xml" ContentType="application/vnd.openxmlformats-officedocument.drawing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8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9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6.xml" ContentType="application/vnd.openxmlformats-officedocument.drawing+xml"/>
  <Override PartName="/xl/charts/chart6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7.xml" ContentType="application/vnd.openxmlformats-officedocument.drawing+xml"/>
  <Override PartName="/xl/charts/chart70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71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72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73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74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75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76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77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78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9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80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81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8.xml" ContentType="application/vnd.openxmlformats-officedocument.drawing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Pedro J Torres\Documents\Data Curator\EC3 Metric\"/>
    </mc:Choice>
  </mc:AlternateContent>
  <xr:revisionPtr revIDLastSave="0" documentId="13_ncr:1_{6E3A9E97-983D-4714-BCE8-6402D7C3DE0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dicadores" sheetId="1" r:id="rId1"/>
    <sheet name="Gráficos totales" sheetId="5" r:id="rId2"/>
    <sheet name="Gráficos Escuelas" sheetId="6" r:id="rId3"/>
    <sheet name="Gráficos Programas Salud" sheetId="7" r:id="rId4"/>
    <sheet name="Salud" sheetId="11" r:id="rId5"/>
    <sheet name="Gráficos Programas TIC" sheetId="9" r:id="rId6"/>
    <sheet name="TIC" sheetId="12" r:id="rId7"/>
    <sheet name="Gráficos Programas CCSS" sheetId="10" r:id="rId8"/>
    <sheet name="CCSS" sheetId="13" r:id="rId9"/>
  </sheets>
  <definedNames>
    <definedName name="_xlnm._FilterDatabase" localSheetId="0" hidden="1">Indicadores!$A$1:$BR$512</definedName>
    <definedName name="_xlchart.v1.0" hidden="1">Indicadores!$AQ$1:$AS$2</definedName>
    <definedName name="_xlchart.v1.1" hidden="1">Indicadores!$AQ$242:$AS$242</definedName>
    <definedName name="_xlchart.v1.2" hidden="1">Indicadores!$U$1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195" i="1" l="1"/>
  <c r="BF195" i="1"/>
  <c r="BE195" i="1"/>
  <c r="BD195" i="1"/>
  <c r="BC195" i="1"/>
  <c r="BB195" i="1"/>
  <c r="BA195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G194" i="1"/>
  <c r="BF194" i="1"/>
  <c r="BE194" i="1"/>
  <c r="BD194" i="1"/>
  <c r="BC194" i="1"/>
  <c r="BB194" i="1"/>
  <c r="BA194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4" i="1"/>
  <c r="BE172" i="1"/>
  <c r="BF172" i="1"/>
  <c r="BG172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U154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G154" i="1"/>
  <c r="BF154" i="1"/>
  <c r="BE154" i="1"/>
  <c r="BD154" i="1"/>
  <c r="BC154" i="1"/>
  <c r="BB154" i="1"/>
  <c r="BA154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87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F174" i="1"/>
  <c r="BG174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G208" i="1"/>
  <c r="BF208" i="1"/>
  <c r="BE208" i="1"/>
  <c r="BD208" i="1"/>
  <c r="BC208" i="1"/>
  <c r="BB208" i="1"/>
  <c r="BA208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G222" i="1"/>
  <c r="BF222" i="1"/>
  <c r="BE222" i="1"/>
  <c r="BD222" i="1"/>
  <c r="BC222" i="1"/>
  <c r="BB222" i="1"/>
  <c r="BA222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G240" i="1"/>
  <c r="BF240" i="1"/>
  <c r="BE240" i="1"/>
  <c r="BD240" i="1"/>
  <c r="BC240" i="1"/>
  <c r="BB240" i="1"/>
  <c r="BA240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BK20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G204" i="1"/>
  <c r="BF204" i="1"/>
  <c r="BE204" i="1"/>
  <c r="BD204" i="1"/>
  <c r="BC204" i="1"/>
  <c r="BB204" i="1"/>
  <c r="BA204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BG162" i="1"/>
  <c r="BF162" i="1"/>
  <c r="BE162" i="1"/>
  <c r="BD162" i="1"/>
  <c r="BC162" i="1"/>
  <c r="BB162" i="1"/>
  <c r="BA162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BG61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Z52" i="1"/>
  <c r="Y52" i="1"/>
  <c r="X52" i="1"/>
  <c r="AA52" i="1"/>
  <c r="W52" i="1"/>
  <c r="V52" i="1"/>
  <c r="U52" i="1"/>
  <c r="BG48" i="1"/>
  <c r="BG47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X48" i="1"/>
  <c r="AV48" i="1"/>
  <c r="BF48" i="1"/>
  <c r="BE48" i="1"/>
  <c r="BD48" i="1"/>
  <c r="BC48" i="1"/>
  <c r="BB48" i="1"/>
  <c r="BA48" i="1"/>
  <c r="AZ48" i="1"/>
  <c r="AY48" i="1"/>
  <c r="AX48" i="1"/>
  <c r="AW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W48" i="1"/>
  <c r="V48" i="1"/>
  <c r="U48" i="1"/>
  <c r="X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W47" i="1"/>
  <c r="V47" i="1"/>
  <c r="U47" i="1"/>
  <c r="U61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BG186" i="1"/>
  <c r="BF186" i="1"/>
  <c r="BE186" i="1"/>
  <c r="BD186" i="1"/>
  <c r="BC186" i="1"/>
  <c r="BB186" i="1"/>
  <c r="BA186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U186" i="1"/>
  <c r="W186" i="1"/>
  <c r="V186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L185" i="1"/>
  <c r="BL186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BK123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F123" i="1"/>
  <c r="AG123" i="1"/>
  <c r="AE123" i="1"/>
  <c r="AD123" i="1"/>
  <c r="AC123" i="1"/>
  <c r="AB123" i="1"/>
  <c r="AA123" i="1"/>
  <c r="Z123" i="1"/>
  <c r="Y123" i="1"/>
  <c r="X123" i="1"/>
  <c r="W123" i="1"/>
  <c r="V123" i="1"/>
  <c r="V121" i="1"/>
  <c r="U123" i="1"/>
  <c r="BJ107" i="1"/>
  <c r="BK107" i="1"/>
  <c r="BL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BJ108" i="1"/>
  <c r="BJ106" i="1"/>
  <c r="BK106" i="1"/>
  <c r="BG106" i="1"/>
  <c r="BF106" i="1"/>
  <c r="BE106" i="1"/>
  <c r="BD106" i="1"/>
  <c r="BC106" i="1"/>
  <c r="BB106" i="1"/>
  <c r="BA106" i="1"/>
  <c r="BB108" i="1"/>
  <c r="BC108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8" i="1"/>
  <c r="U106" i="1"/>
  <c r="BL105" i="1"/>
  <c r="BK105" i="1"/>
  <c r="BJ105" i="1"/>
  <c r="BG105" i="1"/>
  <c r="BG108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BL108" i="1"/>
  <c r="BK108" i="1"/>
  <c r="BF108" i="1"/>
  <c r="BE108" i="1"/>
  <c r="BE104" i="1"/>
  <c r="BD104" i="1"/>
  <c r="BD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O104" i="1"/>
  <c r="AN108" i="1"/>
  <c r="AN104" i="1"/>
  <c r="AM108" i="1"/>
  <c r="AM104" i="1"/>
  <c r="AL108" i="1"/>
  <c r="AL104" i="1"/>
  <c r="AK108" i="1"/>
  <c r="AK104" i="1"/>
  <c r="AJ108" i="1"/>
  <c r="AJ104" i="1"/>
  <c r="AI104" i="1"/>
  <c r="AH104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V104" i="1"/>
  <c r="U104" i="1"/>
  <c r="U109" i="1"/>
  <c r="U78" i="1"/>
  <c r="BL238" i="1"/>
  <c r="BK238" i="1"/>
  <c r="BG238" i="1"/>
  <c r="BF238" i="1"/>
  <c r="BE238" i="1"/>
  <c r="BD238" i="1"/>
  <c r="BC238" i="1"/>
  <c r="BB238" i="1"/>
  <c r="BA238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H238" i="1"/>
  <c r="AI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BL200" i="1"/>
  <c r="BK200" i="1"/>
  <c r="BG200" i="1"/>
  <c r="BF200" i="1"/>
  <c r="BE200" i="1"/>
  <c r="BD200" i="1"/>
  <c r="BC200" i="1"/>
  <c r="BB200" i="1"/>
  <c r="BA200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U178" i="1"/>
  <c r="BL139" i="1"/>
  <c r="BK139" i="1"/>
  <c r="BJ139" i="1"/>
  <c r="BI139" i="1"/>
  <c r="BG139" i="1"/>
  <c r="BF139" i="1"/>
  <c r="BE139" i="1"/>
  <c r="BD139" i="1"/>
  <c r="BC139" i="1"/>
  <c r="BB139" i="1"/>
  <c r="BA139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U139" i="1"/>
  <c r="V139" i="1"/>
  <c r="BK111" i="1"/>
  <c r="BL110" i="1"/>
  <c r="BK110" i="1"/>
  <c r="BJ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BL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V61" i="1"/>
  <c r="BL35" i="1"/>
  <c r="BL39" i="1"/>
  <c r="BK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BL242" i="1"/>
  <c r="BL241" i="1"/>
  <c r="BL239" i="1"/>
  <c r="BL237" i="1"/>
  <c r="BL229" i="1"/>
  <c r="BL228" i="1"/>
  <c r="BL227" i="1"/>
  <c r="BL223" i="1"/>
  <c r="BL221" i="1"/>
  <c r="BL220" i="1"/>
  <c r="BL219" i="1"/>
  <c r="BL218" i="1"/>
  <c r="BL217" i="1"/>
  <c r="BL216" i="1"/>
  <c r="BL215" i="1"/>
  <c r="BL214" i="1"/>
  <c r="BL211" i="1"/>
  <c r="BL207" i="1"/>
  <c r="BL206" i="1"/>
  <c r="BL205" i="1"/>
  <c r="BL203" i="1"/>
  <c r="BL202" i="1"/>
  <c r="BL201" i="1"/>
  <c r="BL199" i="1"/>
  <c r="BL197" i="1"/>
  <c r="BL193" i="1"/>
  <c r="BL191" i="1"/>
  <c r="BL190" i="1"/>
  <c r="BL189" i="1"/>
  <c r="BL183" i="1"/>
  <c r="BL182" i="1"/>
  <c r="BL181" i="1"/>
  <c r="BL180" i="1"/>
  <c r="BL179" i="1"/>
  <c r="BL178" i="1"/>
  <c r="BL175" i="1"/>
  <c r="BL169" i="1"/>
  <c r="BL168" i="1"/>
  <c r="BL166" i="1"/>
  <c r="BL165" i="1"/>
  <c r="BL164" i="1"/>
  <c r="BL161" i="1"/>
  <c r="BL160" i="1"/>
  <c r="BL159" i="1"/>
  <c r="BL158" i="1"/>
  <c r="BL157" i="1"/>
  <c r="BL144" i="1"/>
  <c r="BL143" i="1"/>
  <c r="BL138" i="1"/>
  <c r="BL137" i="1"/>
  <c r="BL136" i="1"/>
  <c r="BL134" i="1"/>
  <c r="BL127" i="1"/>
  <c r="BL126" i="1"/>
  <c r="BL125" i="1"/>
  <c r="BL121" i="1"/>
  <c r="BL120" i="1"/>
  <c r="BL117" i="1"/>
  <c r="BL116" i="1"/>
  <c r="BL104" i="1"/>
  <c r="BL103" i="1"/>
  <c r="BL101" i="1"/>
  <c r="BL99" i="1"/>
  <c r="BL98" i="1"/>
  <c r="BL96" i="1"/>
  <c r="BL91" i="1"/>
  <c r="BL90" i="1"/>
  <c r="BL89" i="1"/>
  <c r="BL88" i="1"/>
  <c r="BL86" i="1"/>
  <c r="BL79" i="1"/>
  <c r="BL78" i="1"/>
  <c r="BL77" i="1"/>
  <c r="BL75" i="1"/>
  <c r="BL74" i="1"/>
  <c r="BL72" i="1"/>
  <c r="BL70" i="1"/>
  <c r="BL69" i="1"/>
  <c r="BL68" i="1"/>
  <c r="BL63" i="1"/>
  <c r="BL62" i="1"/>
  <c r="BL61" i="1"/>
  <c r="BL59" i="1"/>
  <c r="BL58" i="1"/>
  <c r="BL50" i="1"/>
  <c r="BL46" i="1"/>
  <c r="BL45" i="1"/>
  <c r="BL44" i="1"/>
  <c r="BL42" i="1"/>
  <c r="BL41" i="1"/>
  <c r="BL38" i="1"/>
  <c r="BL37" i="1"/>
  <c r="BL36" i="1"/>
  <c r="BL34" i="1"/>
  <c r="BL33" i="1"/>
  <c r="BL31" i="1"/>
  <c r="BL30" i="1"/>
  <c r="BL28" i="1"/>
  <c r="BL27" i="1"/>
  <c r="BL26" i="1"/>
  <c r="BL25" i="1"/>
  <c r="BL24" i="1"/>
  <c r="BL23" i="1"/>
  <c r="BL22" i="1"/>
  <c r="BL21" i="1"/>
  <c r="BL20" i="1"/>
  <c r="BL19" i="1"/>
  <c r="BL18" i="1"/>
  <c r="BL17" i="1"/>
  <c r="BL16" i="1"/>
  <c r="BL13" i="1"/>
  <c r="BL11" i="1"/>
  <c r="BL10" i="1"/>
  <c r="BL8" i="1"/>
  <c r="BL7" i="1"/>
  <c r="BL6" i="1"/>
  <c r="BL5" i="1"/>
  <c r="BL4" i="1"/>
  <c r="BL3" i="1"/>
  <c r="BK242" i="1"/>
  <c r="BK229" i="1"/>
  <c r="BK214" i="1"/>
  <c r="BK206" i="1"/>
  <c r="BK202" i="1"/>
  <c r="BK189" i="1"/>
  <c r="BK178" i="1"/>
  <c r="BK169" i="1"/>
  <c r="BK159" i="1"/>
  <c r="BK158" i="1"/>
  <c r="BK125" i="1"/>
  <c r="BK120" i="1"/>
  <c r="BK96" i="1"/>
  <c r="BK86" i="1"/>
  <c r="BK78" i="1"/>
  <c r="BK74" i="1"/>
  <c r="BK62" i="1"/>
  <c r="BK42" i="1"/>
  <c r="BK41" i="1"/>
  <c r="BK35" i="1"/>
  <c r="BK31" i="1"/>
  <c r="BK22" i="1"/>
  <c r="BK17" i="1"/>
  <c r="BK13" i="1"/>
  <c r="BK4" i="1"/>
  <c r="BK3" i="1"/>
  <c r="BJ242" i="1"/>
  <c r="BJ229" i="1"/>
  <c r="BJ214" i="1"/>
  <c r="BJ202" i="1"/>
  <c r="BJ189" i="1"/>
  <c r="BJ178" i="1"/>
  <c r="BJ169" i="1"/>
  <c r="BJ159" i="1"/>
  <c r="BJ158" i="1"/>
  <c r="BJ125" i="1"/>
  <c r="BJ96" i="1"/>
  <c r="BJ86" i="1"/>
  <c r="BJ62" i="1"/>
  <c r="BJ42" i="1"/>
  <c r="BJ41" i="1"/>
  <c r="BJ35" i="1"/>
  <c r="BJ31" i="1"/>
  <c r="BJ22" i="1"/>
  <c r="BJ17" i="1"/>
  <c r="BJ13" i="1"/>
  <c r="BJ4" i="1"/>
  <c r="BJ3" i="1"/>
  <c r="BI242" i="1"/>
  <c r="BI141" i="1"/>
  <c r="BI133" i="1"/>
  <c r="BI125" i="1"/>
  <c r="BI93" i="1"/>
  <c r="BI89" i="1"/>
  <c r="BI86" i="1"/>
  <c r="BI76" i="1"/>
  <c r="BI75" i="1"/>
  <c r="BI74" i="1"/>
  <c r="BI54" i="1"/>
  <c r="BI42" i="1"/>
  <c r="BI41" i="1"/>
  <c r="BI33" i="1"/>
  <c r="BI31" i="1"/>
  <c r="BI25" i="1"/>
  <c r="BI23" i="1"/>
  <c r="BI22" i="1"/>
  <c r="BI21" i="1"/>
  <c r="BI18" i="1"/>
  <c r="BI17" i="1"/>
  <c r="BI6" i="1"/>
  <c r="BI5" i="1"/>
  <c r="BI4" i="1"/>
  <c r="BI3" i="1"/>
  <c r="BH242" i="1"/>
  <c r="BH34" i="1"/>
  <c r="BH31" i="1"/>
  <c r="BH3" i="1"/>
  <c r="BG45" i="1"/>
  <c r="BF229" i="1"/>
  <c r="BF214" i="1"/>
  <c r="BF206" i="1"/>
  <c r="BF202" i="1"/>
  <c r="BF189" i="1"/>
  <c r="BF178" i="1"/>
  <c r="BF169" i="1"/>
  <c r="BF159" i="1"/>
  <c r="BF158" i="1"/>
  <c r="BF125" i="1"/>
  <c r="BF120" i="1"/>
  <c r="BF96" i="1"/>
  <c r="BF86" i="1"/>
  <c r="BF78" i="1"/>
  <c r="BF74" i="1"/>
  <c r="BF62" i="1"/>
  <c r="BF42" i="1"/>
  <c r="BF41" i="1"/>
  <c r="BF35" i="1"/>
  <c r="BF31" i="1"/>
  <c r="BF22" i="1"/>
  <c r="BF17" i="1"/>
  <c r="BF13" i="1"/>
  <c r="BF4" i="1"/>
  <c r="BF3" i="1"/>
  <c r="BE241" i="1"/>
  <c r="BE239" i="1"/>
  <c r="BE237" i="1"/>
  <c r="BE235" i="1"/>
  <c r="BE233" i="1"/>
  <c r="BE232" i="1"/>
  <c r="BE230" i="1"/>
  <c r="BE229" i="1"/>
  <c r="BE228" i="1"/>
  <c r="BE227" i="1"/>
  <c r="BE225" i="1"/>
  <c r="BE224" i="1"/>
  <c r="BE223" i="1"/>
  <c r="BE221" i="1"/>
  <c r="BE220" i="1"/>
  <c r="BE219" i="1"/>
  <c r="BE218" i="1"/>
  <c r="BE217" i="1"/>
  <c r="BE216" i="1"/>
  <c r="BE215" i="1"/>
  <c r="BE214" i="1"/>
  <c r="BE213" i="1"/>
  <c r="BE211" i="1"/>
  <c r="BE207" i="1"/>
  <c r="BE206" i="1"/>
  <c r="BE205" i="1"/>
  <c r="BE203" i="1"/>
  <c r="BE202" i="1"/>
  <c r="BE201" i="1"/>
  <c r="BE199" i="1"/>
  <c r="BE198" i="1"/>
  <c r="BE197" i="1"/>
  <c r="BE193" i="1"/>
  <c r="BE192" i="1"/>
  <c r="BE191" i="1"/>
  <c r="BE190" i="1"/>
  <c r="BE189" i="1"/>
  <c r="BE188" i="1"/>
  <c r="BE185" i="1"/>
  <c r="BE184" i="1"/>
  <c r="BE183" i="1"/>
  <c r="BE182" i="1"/>
  <c r="BE181" i="1"/>
  <c r="BE180" i="1"/>
  <c r="BE179" i="1"/>
  <c r="BE178" i="1"/>
  <c r="BE177" i="1"/>
  <c r="BE176" i="1"/>
  <c r="BE175" i="1"/>
  <c r="BE171" i="1"/>
  <c r="BE170" i="1"/>
  <c r="BE169" i="1"/>
  <c r="BE168" i="1"/>
  <c r="BE167" i="1"/>
  <c r="BE166" i="1"/>
  <c r="BE165" i="1"/>
  <c r="BE164" i="1"/>
  <c r="BE161" i="1"/>
  <c r="BE160" i="1"/>
  <c r="BE159" i="1"/>
  <c r="BE158" i="1"/>
  <c r="BE157" i="1"/>
  <c r="BE156" i="1"/>
  <c r="BE146" i="1"/>
  <c r="BE144" i="1"/>
  <c r="BE143" i="1"/>
  <c r="BE141" i="1"/>
  <c r="BE140" i="1"/>
  <c r="BE138" i="1"/>
  <c r="BE137" i="1"/>
  <c r="BE136" i="1"/>
  <c r="BE135" i="1"/>
  <c r="BE134" i="1"/>
  <c r="BE133" i="1"/>
  <c r="BE127" i="1"/>
  <c r="BE126" i="1"/>
  <c r="BE125" i="1"/>
  <c r="BE124" i="1"/>
  <c r="BE121" i="1"/>
  <c r="BE120" i="1"/>
  <c r="BE119" i="1"/>
  <c r="BE118" i="1"/>
  <c r="BE117" i="1"/>
  <c r="BE116" i="1"/>
  <c r="BE115" i="1"/>
  <c r="BE111" i="1"/>
  <c r="BE109" i="1"/>
  <c r="BE103" i="1"/>
  <c r="BE101" i="1"/>
  <c r="BE100" i="1"/>
  <c r="BE99" i="1"/>
  <c r="BE98" i="1"/>
  <c r="BE97" i="1"/>
  <c r="BE96" i="1"/>
  <c r="BE95" i="1"/>
  <c r="BE93" i="1"/>
  <c r="BE92" i="1"/>
  <c r="BE91" i="1"/>
  <c r="BE90" i="1"/>
  <c r="BE89" i="1"/>
  <c r="BE88" i="1"/>
  <c r="BE86" i="1"/>
  <c r="BE85" i="1"/>
  <c r="BE79" i="1"/>
  <c r="BE78" i="1"/>
  <c r="BE77" i="1"/>
  <c r="BE76" i="1"/>
  <c r="BE75" i="1"/>
  <c r="BE74" i="1"/>
  <c r="BE73" i="1"/>
  <c r="BE72" i="1"/>
  <c r="BE71" i="1"/>
  <c r="BE70" i="1"/>
  <c r="BE69" i="1"/>
  <c r="BE68" i="1"/>
  <c r="BE63" i="1"/>
  <c r="BE62" i="1"/>
  <c r="BE61" i="1"/>
  <c r="BE59" i="1"/>
  <c r="BE58" i="1"/>
  <c r="BE55" i="1"/>
  <c r="BE54" i="1"/>
  <c r="BE50" i="1"/>
  <c r="BE46" i="1"/>
  <c r="BE45" i="1"/>
  <c r="BE44" i="1"/>
  <c r="BE43" i="1"/>
  <c r="BE42" i="1"/>
  <c r="BE41" i="1"/>
  <c r="BE39" i="1"/>
  <c r="BE38" i="1"/>
  <c r="BE37" i="1"/>
  <c r="BE36" i="1"/>
  <c r="BE35" i="1"/>
  <c r="BE34" i="1"/>
  <c r="BE33" i="1"/>
  <c r="BE32" i="1"/>
  <c r="BE31" i="1"/>
  <c r="BE30" i="1"/>
  <c r="BE28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D241" i="1"/>
  <c r="BD239" i="1"/>
  <c r="BD237" i="1"/>
  <c r="BD235" i="1"/>
  <c r="BD233" i="1"/>
  <c r="BD232" i="1"/>
  <c r="BD230" i="1"/>
  <c r="BD229" i="1"/>
  <c r="BD228" i="1"/>
  <c r="BD227" i="1"/>
  <c r="BD225" i="1"/>
  <c r="BD224" i="1"/>
  <c r="BD223" i="1"/>
  <c r="BD221" i="1"/>
  <c r="BD220" i="1"/>
  <c r="BD219" i="1"/>
  <c r="BD218" i="1"/>
  <c r="BD217" i="1"/>
  <c r="BD216" i="1"/>
  <c r="BD215" i="1"/>
  <c r="BD214" i="1"/>
  <c r="BD213" i="1"/>
  <c r="BD211" i="1"/>
  <c r="BD207" i="1"/>
  <c r="BD206" i="1"/>
  <c r="BD205" i="1"/>
  <c r="BD203" i="1"/>
  <c r="BD202" i="1"/>
  <c r="BD201" i="1"/>
  <c r="BD199" i="1"/>
  <c r="BD198" i="1"/>
  <c r="BD197" i="1"/>
  <c r="BD193" i="1"/>
  <c r="BD192" i="1"/>
  <c r="BD191" i="1"/>
  <c r="BD190" i="1"/>
  <c r="BD189" i="1"/>
  <c r="BD188" i="1"/>
  <c r="BD185" i="1"/>
  <c r="BD184" i="1"/>
  <c r="BD183" i="1"/>
  <c r="BD182" i="1"/>
  <c r="BD181" i="1"/>
  <c r="BD180" i="1"/>
  <c r="BD179" i="1"/>
  <c r="BD178" i="1"/>
  <c r="BD177" i="1"/>
  <c r="BD176" i="1"/>
  <c r="BD175" i="1"/>
  <c r="BD171" i="1"/>
  <c r="BD170" i="1"/>
  <c r="BD169" i="1"/>
  <c r="BD168" i="1"/>
  <c r="BD167" i="1"/>
  <c r="BD166" i="1"/>
  <c r="BD165" i="1"/>
  <c r="BD164" i="1"/>
  <c r="BD161" i="1"/>
  <c r="BD160" i="1"/>
  <c r="BD159" i="1"/>
  <c r="BD158" i="1"/>
  <c r="BD157" i="1"/>
  <c r="BD156" i="1"/>
  <c r="BD146" i="1"/>
  <c r="BD144" i="1"/>
  <c r="BD143" i="1"/>
  <c r="BD141" i="1"/>
  <c r="BD140" i="1"/>
  <c r="BD138" i="1"/>
  <c r="BD137" i="1"/>
  <c r="BD136" i="1"/>
  <c r="BD135" i="1"/>
  <c r="BD134" i="1"/>
  <c r="BD133" i="1"/>
  <c r="BD127" i="1"/>
  <c r="BD126" i="1"/>
  <c r="BD125" i="1"/>
  <c r="BD124" i="1"/>
  <c r="BD121" i="1"/>
  <c r="BD120" i="1"/>
  <c r="BD119" i="1"/>
  <c r="BD118" i="1"/>
  <c r="BD117" i="1"/>
  <c r="BD116" i="1"/>
  <c r="BD115" i="1"/>
  <c r="BD111" i="1"/>
  <c r="BD109" i="1"/>
  <c r="BD103" i="1"/>
  <c r="BD101" i="1"/>
  <c r="BD100" i="1"/>
  <c r="BD99" i="1"/>
  <c r="BD98" i="1"/>
  <c r="BD97" i="1"/>
  <c r="BD96" i="1"/>
  <c r="BD95" i="1"/>
  <c r="BD93" i="1"/>
  <c r="BD92" i="1"/>
  <c r="BD91" i="1"/>
  <c r="BD90" i="1"/>
  <c r="BD89" i="1"/>
  <c r="BD88" i="1"/>
  <c r="BD86" i="1"/>
  <c r="BD85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3" i="1"/>
  <c r="BD62" i="1"/>
  <c r="BD61" i="1"/>
  <c r="BD59" i="1"/>
  <c r="BD58" i="1"/>
  <c r="BD55" i="1"/>
  <c r="BD54" i="1"/>
  <c r="BD50" i="1"/>
  <c r="BD46" i="1"/>
  <c r="BD45" i="1"/>
  <c r="BD44" i="1"/>
  <c r="BD43" i="1"/>
  <c r="BD42" i="1"/>
  <c r="BD41" i="1"/>
  <c r="BD39" i="1"/>
  <c r="BD38" i="1"/>
  <c r="BD37" i="1"/>
  <c r="BD36" i="1"/>
  <c r="BD35" i="1"/>
  <c r="BD34" i="1"/>
  <c r="BD33" i="1"/>
  <c r="BD32" i="1"/>
  <c r="BD31" i="1"/>
  <c r="BD30" i="1"/>
  <c r="BD28" i="1"/>
  <c r="BD27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5" i="1"/>
  <c r="BD4" i="1"/>
  <c r="BD3" i="1"/>
  <c r="BC241" i="1"/>
  <c r="BC239" i="1"/>
  <c r="BC237" i="1"/>
  <c r="BC235" i="1"/>
  <c r="BC233" i="1"/>
  <c r="BC232" i="1"/>
  <c r="BC230" i="1"/>
  <c r="BC229" i="1"/>
  <c r="BC228" i="1"/>
  <c r="BC227" i="1"/>
  <c r="BC225" i="1"/>
  <c r="BC224" i="1"/>
  <c r="BC223" i="1"/>
  <c r="BC221" i="1"/>
  <c r="BC220" i="1"/>
  <c r="BC219" i="1"/>
  <c r="BC218" i="1"/>
  <c r="BC217" i="1"/>
  <c r="BC216" i="1"/>
  <c r="BC215" i="1"/>
  <c r="BC214" i="1"/>
  <c r="BC213" i="1"/>
  <c r="BC211" i="1"/>
  <c r="BC207" i="1"/>
  <c r="BC206" i="1"/>
  <c r="BC205" i="1"/>
  <c r="BC203" i="1"/>
  <c r="BC202" i="1"/>
  <c r="BC201" i="1"/>
  <c r="BC199" i="1"/>
  <c r="BC198" i="1"/>
  <c r="BC197" i="1"/>
  <c r="BC193" i="1"/>
  <c r="BC192" i="1"/>
  <c r="BC191" i="1"/>
  <c r="BC190" i="1"/>
  <c r="BC189" i="1"/>
  <c r="BC188" i="1"/>
  <c r="BC185" i="1"/>
  <c r="BC184" i="1"/>
  <c r="BC183" i="1"/>
  <c r="BC182" i="1"/>
  <c r="BC181" i="1"/>
  <c r="BC180" i="1"/>
  <c r="BC179" i="1"/>
  <c r="BC178" i="1"/>
  <c r="BC177" i="1"/>
  <c r="BC176" i="1"/>
  <c r="BC175" i="1"/>
  <c r="BC171" i="1"/>
  <c r="BC170" i="1"/>
  <c r="BC169" i="1"/>
  <c r="BC168" i="1"/>
  <c r="BC167" i="1"/>
  <c r="BC166" i="1"/>
  <c r="BC165" i="1"/>
  <c r="BC164" i="1"/>
  <c r="BC161" i="1"/>
  <c r="BC160" i="1"/>
  <c r="BC159" i="1"/>
  <c r="BC158" i="1"/>
  <c r="BC157" i="1"/>
  <c r="BC156" i="1"/>
  <c r="BC146" i="1"/>
  <c r="BC144" i="1"/>
  <c r="BC143" i="1"/>
  <c r="BC141" i="1"/>
  <c r="BC140" i="1"/>
  <c r="BC138" i="1"/>
  <c r="BC137" i="1"/>
  <c r="BC136" i="1"/>
  <c r="BC135" i="1"/>
  <c r="BC134" i="1"/>
  <c r="BC133" i="1"/>
  <c r="BC127" i="1"/>
  <c r="BC126" i="1"/>
  <c r="BC125" i="1"/>
  <c r="BC124" i="1"/>
  <c r="BC121" i="1"/>
  <c r="BC120" i="1"/>
  <c r="BC119" i="1"/>
  <c r="BC118" i="1"/>
  <c r="BC117" i="1"/>
  <c r="BC116" i="1"/>
  <c r="BC115" i="1"/>
  <c r="BC111" i="1"/>
  <c r="BC109" i="1"/>
  <c r="BC104" i="1"/>
  <c r="BC103" i="1"/>
  <c r="BC101" i="1"/>
  <c r="BC100" i="1"/>
  <c r="BC99" i="1"/>
  <c r="BC98" i="1"/>
  <c r="BC97" i="1"/>
  <c r="BC96" i="1"/>
  <c r="BC95" i="1"/>
  <c r="BC93" i="1"/>
  <c r="BC92" i="1"/>
  <c r="BC91" i="1"/>
  <c r="BC90" i="1"/>
  <c r="BC89" i="1"/>
  <c r="BC88" i="1"/>
  <c r="BC86" i="1"/>
  <c r="BC85" i="1"/>
  <c r="BC79" i="1"/>
  <c r="BC78" i="1"/>
  <c r="BC77" i="1"/>
  <c r="BC76" i="1"/>
  <c r="BC75" i="1"/>
  <c r="BC74" i="1"/>
  <c r="BC73" i="1"/>
  <c r="BC72" i="1"/>
  <c r="BC71" i="1"/>
  <c r="BC70" i="1"/>
  <c r="BC69" i="1"/>
  <c r="BC68" i="1"/>
  <c r="BC63" i="1"/>
  <c r="BC62" i="1"/>
  <c r="BC61" i="1"/>
  <c r="BC59" i="1"/>
  <c r="BC58" i="1"/>
  <c r="BC55" i="1"/>
  <c r="BC54" i="1"/>
  <c r="BC50" i="1"/>
  <c r="BC46" i="1"/>
  <c r="BC45" i="1"/>
  <c r="BC44" i="1"/>
  <c r="BC43" i="1"/>
  <c r="BC42" i="1"/>
  <c r="BC41" i="1"/>
  <c r="BC39" i="1"/>
  <c r="BC38" i="1"/>
  <c r="BC37" i="1"/>
  <c r="BC36" i="1"/>
  <c r="BC35" i="1"/>
  <c r="BC34" i="1"/>
  <c r="BC33" i="1"/>
  <c r="BC32" i="1"/>
  <c r="BC31" i="1"/>
  <c r="BC30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BC7" i="1"/>
  <c r="BC6" i="1"/>
  <c r="BC5" i="1"/>
  <c r="BC4" i="1"/>
  <c r="BC3" i="1"/>
  <c r="BB241" i="1"/>
  <c r="BB239" i="1"/>
  <c r="BB237" i="1"/>
  <c r="BB235" i="1"/>
  <c r="BB233" i="1"/>
  <c r="BB232" i="1"/>
  <c r="BB230" i="1"/>
  <c r="BB229" i="1"/>
  <c r="BB228" i="1"/>
  <c r="BB227" i="1"/>
  <c r="BB225" i="1"/>
  <c r="BB224" i="1"/>
  <c r="BB223" i="1"/>
  <c r="BB221" i="1"/>
  <c r="BB220" i="1"/>
  <c r="BB219" i="1"/>
  <c r="BB218" i="1"/>
  <c r="BB217" i="1"/>
  <c r="BB216" i="1"/>
  <c r="BB215" i="1"/>
  <c r="BB214" i="1"/>
  <c r="BB213" i="1"/>
  <c r="BB211" i="1"/>
  <c r="BB207" i="1"/>
  <c r="BB206" i="1"/>
  <c r="BB205" i="1"/>
  <c r="BB203" i="1"/>
  <c r="BB202" i="1"/>
  <c r="BB201" i="1"/>
  <c r="BB199" i="1"/>
  <c r="BB198" i="1"/>
  <c r="BB197" i="1"/>
  <c r="BB193" i="1"/>
  <c r="BB192" i="1"/>
  <c r="BB191" i="1"/>
  <c r="BB190" i="1"/>
  <c r="BB189" i="1"/>
  <c r="BB188" i="1"/>
  <c r="BB185" i="1"/>
  <c r="BB184" i="1"/>
  <c r="BB183" i="1"/>
  <c r="BB182" i="1"/>
  <c r="BB181" i="1"/>
  <c r="BB180" i="1"/>
  <c r="BB179" i="1"/>
  <c r="BB178" i="1"/>
  <c r="BB177" i="1"/>
  <c r="BB176" i="1"/>
  <c r="BB175" i="1"/>
  <c r="BB171" i="1"/>
  <c r="BB170" i="1"/>
  <c r="BB169" i="1"/>
  <c r="BB168" i="1"/>
  <c r="BB167" i="1"/>
  <c r="BB166" i="1"/>
  <c r="BB165" i="1"/>
  <c r="BB164" i="1"/>
  <c r="BB161" i="1"/>
  <c r="BB160" i="1"/>
  <c r="BB159" i="1"/>
  <c r="BB158" i="1"/>
  <c r="BB157" i="1"/>
  <c r="BB156" i="1"/>
  <c r="BB146" i="1"/>
  <c r="BB144" i="1"/>
  <c r="BB143" i="1"/>
  <c r="BB141" i="1"/>
  <c r="BB140" i="1"/>
  <c r="BB138" i="1"/>
  <c r="BB137" i="1"/>
  <c r="BB136" i="1"/>
  <c r="BB135" i="1"/>
  <c r="BB134" i="1"/>
  <c r="BB133" i="1"/>
  <c r="BB127" i="1"/>
  <c r="BB126" i="1"/>
  <c r="BB125" i="1"/>
  <c r="BB124" i="1"/>
  <c r="BB121" i="1"/>
  <c r="BB120" i="1"/>
  <c r="BB119" i="1"/>
  <c r="BB118" i="1"/>
  <c r="BB117" i="1"/>
  <c r="BB116" i="1"/>
  <c r="BB115" i="1"/>
  <c r="BB111" i="1"/>
  <c r="BB109" i="1"/>
  <c r="BB104" i="1"/>
  <c r="BB103" i="1"/>
  <c r="BB101" i="1"/>
  <c r="BB100" i="1"/>
  <c r="BB99" i="1"/>
  <c r="BB98" i="1"/>
  <c r="BB97" i="1"/>
  <c r="BB96" i="1"/>
  <c r="BB95" i="1"/>
  <c r="BB93" i="1"/>
  <c r="BB92" i="1"/>
  <c r="BB91" i="1"/>
  <c r="BB90" i="1"/>
  <c r="BB89" i="1"/>
  <c r="BB88" i="1"/>
  <c r="BB86" i="1"/>
  <c r="BB85" i="1"/>
  <c r="BB79" i="1"/>
  <c r="BB78" i="1"/>
  <c r="BB77" i="1"/>
  <c r="BB76" i="1"/>
  <c r="BB75" i="1"/>
  <c r="BB74" i="1"/>
  <c r="BB73" i="1"/>
  <c r="BB72" i="1"/>
  <c r="BB71" i="1"/>
  <c r="BB70" i="1"/>
  <c r="BB69" i="1"/>
  <c r="BB68" i="1"/>
  <c r="BB63" i="1"/>
  <c r="BB62" i="1"/>
  <c r="BB61" i="1"/>
  <c r="BB59" i="1"/>
  <c r="BB58" i="1"/>
  <c r="BB55" i="1"/>
  <c r="BB54" i="1"/>
  <c r="BB50" i="1"/>
  <c r="BB46" i="1"/>
  <c r="BB45" i="1"/>
  <c r="BB44" i="1"/>
  <c r="BB43" i="1"/>
  <c r="BB42" i="1"/>
  <c r="BB41" i="1"/>
  <c r="BB39" i="1"/>
  <c r="BB38" i="1"/>
  <c r="BB37" i="1"/>
  <c r="BB36" i="1"/>
  <c r="BB35" i="1"/>
  <c r="BB34" i="1"/>
  <c r="BB33" i="1"/>
  <c r="BB32" i="1"/>
  <c r="BB31" i="1"/>
  <c r="BB30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B6" i="1"/>
  <c r="BB5" i="1"/>
  <c r="BB4" i="1"/>
  <c r="BB3" i="1"/>
  <c r="BA241" i="1"/>
  <c r="BA239" i="1"/>
  <c r="BA237" i="1"/>
  <c r="BA235" i="1"/>
  <c r="BA233" i="1"/>
  <c r="BA232" i="1"/>
  <c r="BA230" i="1"/>
  <c r="BA229" i="1"/>
  <c r="BA228" i="1"/>
  <c r="BA227" i="1"/>
  <c r="BA225" i="1"/>
  <c r="BA224" i="1"/>
  <c r="BA223" i="1"/>
  <c r="BA221" i="1"/>
  <c r="BA220" i="1"/>
  <c r="BA219" i="1"/>
  <c r="BA218" i="1"/>
  <c r="BA217" i="1"/>
  <c r="BA216" i="1"/>
  <c r="BA215" i="1"/>
  <c r="BA214" i="1"/>
  <c r="BA213" i="1"/>
  <c r="BA211" i="1"/>
  <c r="BA207" i="1"/>
  <c r="BA206" i="1"/>
  <c r="BA205" i="1"/>
  <c r="BA203" i="1"/>
  <c r="BA202" i="1"/>
  <c r="BA201" i="1"/>
  <c r="BA199" i="1"/>
  <c r="BA198" i="1"/>
  <c r="BA197" i="1"/>
  <c r="BA193" i="1"/>
  <c r="BA192" i="1"/>
  <c r="BA191" i="1"/>
  <c r="BA190" i="1"/>
  <c r="BA189" i="1"/>
  <c r="BA188" i="1"/>
  <c r="BA185" i="1"/>
  <c r="BA184" i="1"/>
  <c r="BA183" i="1"/>
  <c r="BA182" i="1"/>
  <c r="BA181" i="1"/>
  <c r="BA180" i="1"/>
  <c r="BA179" i="1"/>
  <c r="BA178" i="1"/>
  <c r="BA177" i="1"/>
  <c r="BA176" i="1"/>
  <c r="BA175" i="1"/>
  <c r="BA171" i="1"/>
  <c r="BA170" i="1"/>
  <c r="BA169" i="1"/>
  <c r="BA168" i="1"/>
  <c r="BA167" i="1"/>
  <c r="BA166" i="1"/>
  <c r="BA165" i="1"/>
  <c r="BA164" i="1"/>
  <c r="BA161" i="1"/>
  <c r="BA160" i="1"/>
  <c r="BA159" i="1"/>
  <c r="BA158" i="1"/>
  <c r="BA157" i="1"/>
  <c r="BA156" i="1"/>
  <c r="BA146" i="1"/>
  <c r="BA144" i="1"/>
  <c r="BA143" i="1"/>
  <c r="BA141" i="1"/>
  <c r="BA140" i="1"/>
  <c r="BA138" i="1"/>
  <c r="BA137" i="1"/>
  <c r="BA136" i="1"/>
  <c r="BA135" i="1"/>
  <c r="BA134" i="1"/>
  <c r="BA133" i="1"/>
  <c r="BA127" i="1"/>
  <c r="BA126" i="1"/>
  <c r="BA125" i="1"/>
  <c r="BA124" i="1"/>
  <c r="BA121" i="1"/>
  <c r="BA120" i="1"/>
  <c r="BA119" i="1"/>
  <c r="BA118" i="1"/>
  <c r="BA117" i="1"/>
  <c r="BA116" i="1"/>
  <c r="BA115" i="1"/>
  <c r="BA111" i="1"/>
  <c r="BA109" i="1"/>
  <c r="BA104" i="1"/>
  <c r="BA103" i="1"/>
  <c r="BA101" i="1"/>
  <c r="BA100" i="1"/>
  <c r="BA99" i="1"/>
  <c r="BA98" i="1"/>
  <c r="BA97" i="1"/>
  <c r="BA96" i="1"/>
  <c r="BA95" i="1"/>
  <c r="BA93" i="1"/>
  <c r="BA92" i="1"/>
  <c r="BA91" i="1"/>
  <c r="BA90" i="1"/>
  <c r="BA89" i="1"/>
  <c r="BA88" i="1"/>
  <c r="BA86" i="1"/>
  <c r="BA85" i="1"/>
  <c r="BA79" i="1"/>
  <c r="BA78" i="1"/>
  <c r="BA77" i="1"/>
  <c r="BA76" i="1"/>
  <c r="BA75" i="1"/>
  <c r="BA74" i="1"/>
  <c r="BA73" i="1"/>
  <c r="BA72" i="1"/>
  <c r="BA71" i="1"/>
  <c r="BA70" i="1"/>
  <c r="BA69" i="1"/>
  <c r="BA68" i="1"/>
  <c r="BA63" i="1"/>
  <c r="BA62" i="1"/>
  <c r="BA61" i="1"/>
  <c r="BA59" i="1"/>
  <c r="BA58" i="1"/>
  <c r="BA55" i="1"/>
  <c r="BA54" i="1"/>
  <c r="BA50" i="1"/>
  <c r="BA46" i="1"/>
  <c r="BA45" i="1"/>
  <c r="BA44" i="1"/>
  <c r="BA43" i="1"/>
  <c r="BA42" i="1"/>
  <c r="BA41" i="1"/>
  <c r="BA39" i="1"/>
  <c r="BA38" i="1"/>
  <c r="BA37" i="1"/>
  <c r="BA36" i="1"/>
  <c r="BA35" i="1"/>
  <c r="BA34" i="1"/>
  <c r="BA33" i="1"/>
  <c r="BA32" i="1"/>
  <c r="BA31" i="1"/>
  <c r="BA30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BA5" i="1"/>
  <c r="BA4" i="1"/>
  <c r="BA3" i="1"/>
  <c r="AZ229" i="1"/>
  <c r="AZ214" i="1"/>
  <c r="AZ206" i="1"/>
  <c r="AZ202" i="1"/>
  <c r="AZ189" i="1"/>
  <c r="AZ178" i="1"/>
  <c r="AZ169" i="1"/>
  <c r="AZ159" i="1"/>
  <c r="AZ158" i="1"/>
  <c r="AZ125" i="1"/>
  <c r="AZ120" i="1"/>
  <c r="AZ96" i="1"/>
  <c r="AZ86" i="1"/>
  <c r="AZ78" i="1"/>
  <c r="AZ74" i="1"/>
  <c r="AZ62" i="1"/>
  <c r="AZ42" i="1"/>
  <c r="AZ41" i="1"/>
  <c r="AZ35" i="1"/>
  <c r="AZ31" i="1"/>
  <c r="AZ22" i="1"/>
  <c r="AZ17" i="1"/>
  <c r="AZ13" i="1"/>
  <c r="AZ4" i="1"/>
  <c r="AZ3" i="1"/>
  <c r="AY229" i="1"/>
  <c r="AY214" i="1"/>
  <c r="AY206" i="1"/>
  <c r="AY202" i="1"/>
  <c r="AY189" i="1"/>
  <c r="AY178" i="1"/>
  <c r="AY169" i="1"/>
  <c r="AY159" i="1"/>
  <c r="AY158" i="1"/>
  <c r="AY125" i="1"/>
  <c r="AY120" i="1"/>
  <c r="AY96" i="1"/>
  <c r="AY86" i="1"/>
  <c r="AY78" i="1"/>
  <c r="AY74" i="1"/>
  <c r="AY62" i="1"/>
  <c r="AY42" i="1"/>
  <c r="AY41" i="1"/>
  <c r="AY35" i="1"/>
  <c r="AY31" i="1"/>
  <c r="AY22" i="1"/>
  <c r="AY17" i="1"/>
  <c r="AY13" i="1"/>
  <c r="AY4" i="1"/>
  <c r="AY3" i="1"/>
  <c r="AX241" i="1"/>
  <c r="AX239" i="1"/>
  <c r="AX237" i="1"/>
  <c r="AX235" i="1"/>
  <c r="AX233" i="1"/>
  <c r="AX232" i="1"/>
  <c r="AX230" i="1"/>
  <c r="AX229" i="1"/>
  <c r="AX228" i="1"/>
  <c r="AX227" i="1"/>
  <c r="AX225" i="1"/>
  <c r="AX224" i="1"/>
  <c r="AX223" i="1"/>
  <c r="AX221" i="1"/>
  <c r="AX220" i="1"/>
  <c r="AX219" i="1"/>
  <c r="AX218" i="1"/>
  <c r="AX217" i="1"/>
  <c r="AX216" i="1"/>
  <c r="AX215" i="1"/>
  <c r="AX214" i="1"/>
  <c r="AX213" i="1"/>
  <c r="AX211" i="1"/>
  <c r="AX207" i="1"/>
  <c r="AX206" i="1"/>
  <c r="AX205" i="1"/>
  <c r="AX203" i="1"/>
  <c r="AX202" i="1"/>
  <c r="AX201" i="1"/>
  <c r="AX199" i="1"/>
  <c r="AX198" i="1"/>
  <c r="AX197" i="1"/>
  <c r="AX193" i="1"/>
  <c r="AX192" i="1"/>
  <c r="AX191" i="1"/>
  <c r="AX190" i="1"/>
  <c r="AX189" i="1"/>
  <c r="AX188" i="1"/>
  <c r="AX185" i="1"/>
  <c r="AX184" i="1"/>
  <c r="AX183" i="1"/>
  <c r="AX182" i="1"/>
  <c r="AX181" i="1"/>
  <c r="AX180" i="1"/>
  <c r="AX179" i="1"/>
  <c r="AX178" i="1"/>
  <c r="AX177" i="1"/>
  <c r="AX176" i="1"/>
  <c r="AX175" i="1"/>
  <c r="AX171" i="1"/>
  <c r="AX170" i="1"/>
  <c r="AX169" i="1"/>
  <c r="AX168" i="1"/>
  <c r="AX167" i="1"/>
  <c r="AX166" i="1"/>
  <c r="AX165" i="1"/>
  <c r="AX164" i="1"/>
  <c r="AX161" i="1"/>
  <c r="AX160" i="1"/>
  <c r="AX159" i="1"/>
  <c r="AX158" i="1"/>
  <c r="AX157" i="1"/>
  <c r="AX156" i="1"/>
  <c r="AX146" i="1"/>
  <c r="AX144" i="1"/>
  <c r="AX143" i="1"/>
  <c r="AX141" i="1"/>
  <c r="AX140" i="1"/>
  <c r="AX138" i="1"/>
  <c r="AX137" i="1"/>
  <c r="AX136" i="1"/>
  <c r="AX135" i="1"/>
  <c r="AX134" i="1"/>
  <c r="AX133" i="1"/>
  <c r="AX127" i="1"/>
  <c r="AX126" i="1"/>
  <c r="AX125" i="1"/>
  <c r="AX124" i="1"/>
  <c r="AX121" i="1"/>
  <c r="AX120" i="1"/>
  <c r="AX119" i="1"/>
  <c r="AX118" i="1"/>
  <c r="AX117" i="1"/>
  <c r="AX116" i="1"/>
  <c r="AX115" i="1"/>
  <c r="AX111" i="1"/>
  <c r="AX109" i="1"/>
  <c r="AX104" i="1"/>
  <c r="AX103" i="1"/>
  <c r="AX101" i="1"/>
  <c r="AX100" i="1"/>
  <c r="AX99" i="1"/>
  <c r="AX98" i="1"/>
  <c r="AX97" i="1"/>
  <c r="AX96" i="1"/>
  <c r="AX95" i="1"/>
  <c r="AX93" i="1"/>
  <c r="AX92" i="1"/>
  <c r="AX91" i="1"/>
  <c r="AX90" i="1"/>
  <c r="AX89" i="1"/>
  <c r="AX88" i="1"/>
  <c r="AX86" i="1"/>
  <c r="AX85" i="1"/>
  <c r="AX79" i="1"/>
  <c r="AX78" i="1"/>
  <c r="AX77" i="1"/>
  <c r="AX76" i="1"/>
  <c r="AX75" i="1"/>
  <c r="AX74" i="1"/>
  <c r="AX73" i="1"/>
  <c r="AX72" i="1"/>
  <c r="AX71" i="1"/>
  <c r="AX70" i="1"/>
  <c r="AX69" i="1"/>
  <c r="AX68" i="1"/>
  <c r="AX63" i="1"/>
  <c r="AX62" i="1"/>
  <c r="AX61" i="1"/>
  <c r="AX59" i="1"/>
  <c r="AX58" i="1"/>
  <c r="AX55" i="1"/>
  <c r="AX54" i="1"/>
  <c r="AX50" i="1"/>
  <c r="AX46" i="1"/>
  <c r="AX45" i="1"/>
  <c r="AX44" i="1"/>
  <c r="AX43" i="1"/>
  <c r="AX42" i="1"/>
  <c r="AX41" i="1"/>
  <c r="AX39" i="1"/>
  <c r="AX38" i="1"/>
  <c r="AX37" i="1"/>
  <c r="AX36" i="1"/>
  <c r="AX35" i="1"/>
  <c r="AX34" i="1"/>
  <c r="AX33" i="1"/>
  <c r="AX32" i="1"/>
  <c r="AX31" i="1"/>
  <c r="AX30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AX5" i="1"/>
  <c r="AX4" i="1"/>
  <c r="AX3" i="1"/>
  <c r="AW241" i="1"/>
  <c r="AW239" i="1"/>
  <c r="AW237" i="1"/>
  <c r="AW235" i="1"/>
  <c r="AW233" i="1"/>
  <c r="AW232" i="1"/>
  <c r="AW230" i="1"/>
  <c r="AW229" i="1"/>
  <c r="AW228" i="1"/>
  <c r="AW227" i="1"/>
  <c r="AW225" i="1"/>
  <c r="AW224" i="1"/>
  <c r="AW223" i="1"/>
  <c r="AW221" i="1"/>
  <c r="AW220" i="1"/>
  <c r="AW219" i="1"/>
  <c r="AW218" i="1"/>
  <c r="AW217" i="1"/>
  <c r="AW216" i="1"/>
  <c r="AW215" i="1"/>
  <c r="AW214" i="1"/>
  <c r="AW213" i="1"/>
  <c r="AW211" i="1"/>
  <c r="AW207" i="1"/>
  <c r="AW206" i="1"/>
  <c r="AW205" i="1"/>
  <c r="AW203" i="1"/>
  <c r="AW202" i="1"/>
  <c r="AW201" i="1"/>
  <c r="AW199" i="1"/>
  <c r="AW198" i="1"/>
  <c r="AW197" i="1"/>
  <c r="AW193" i="1"/>
  <c r="AW192" i="1"/>
  <c r="AW191" i="1"/>
  <c r="AW190" i="1"/>
  <c r="AW189" i="1"/>
  <c r="AW188" i="1"/>
  <c r="AW185" i="1"/>
  <c r="AW184" i="1"/>
  <c r="AW183" i="1"/>
  <c r="AW182" i="1"/>
  <c r="AW181" i="1"/>
  <c r="AW180" i="1"/>
  <c r="AW179" i="1"/>
  <c r="AW178" i="1"/>
  <c r="AW177" i="1"/>
  <c r="AW176" i="1"/>
  <c r="AW175" i="1"/>
  <c r="AW171" i="1"/>
  <c r="AW170" i="1"/>
  <c r="AW169" i="1"/>
  <c r="AW168" i="1"/>
  <c r="AW167" i="1"/>
  <c r="AW166" i="1"/>
  <c r="AW165" i="1"/>
  <c r="AW164" i="1"/>
  <c r="AW161" i="1"/>
  <c r="AW160" i="1"/>
  <c r="AW159" i="1"/>
  <c r="AW158" i="1"/>
  <c r="AW157" i="1"/>
  <c r="AW156" i="1"/>
  <c r="AW146" i="1"/>
  <c r="AW144" i="1"/>
  <c r="AW143" i="1"/>
  <c r="AW141" i="1"/>
  <c r="AW140" i="1"/>
  <c r="AW138" i="1"/>
  <c r="AW137" i="1"/>
  <c r="AW136" i="1"/>
  <c r="AW135" i="1"/>
  <c r="AW134" i="1"/>
  <c r="AW133" i="1"/>
  <c r="AW127" i="1"/>
  <c r="AW126" i="1"/>
  <c r="AW125" i="1"/>
  <c r="AW124" i="1"/>
  <c r="AW121" i="1"/>
  <c r="AW120" i="1"/>
  <c r="AW119" i="1"/>
  <c r="AW118" i="1"/>
  <c r="AW117" i="1"/>
  <c r="AW116" i="1"/>
  <c r="AW115" i="1"/>
  <c r="AW111" i="1"/>
  <c r="AW109" i="1"/>
  <c r="AW104" i="1"/>
  <c r="AW103" i="1"/>
  <c r="AW101" i="1"/>
  <c r="AW100" i="1"/>
  <c r="AW99" i="1"/>
  <c r="AW98" i="1"/>
  <c r="AW97" i="1"/>
  <c r="AW96" i="1"/>
  <c r="AW95" i="1"/>
  <c r="AW93" i="1"/>
  <c r="AW92" i="1"/>
  <c r="AW91" i="1"/>
  <c r="AW90" i="1"/>
  <c r="AW89" i="1"/>
  <c r="AW88" i="1"/>
  <c r="AW86" i="1"/>
  <c r="AW85" i="1"/>
  <c r="AW79" i="1"/>
  <c r="AW78" i="1"/>
  <c r="AW77" i="1"/>
  <c r="AW76" i="1"/>
  <c r="AW75" i="1"/>
  <c r="AW74" i="1"/>
  <c r="AW73" i="1"/>
  <c r="AW72" i="1"/>
  <c r="AW71" i="1"/>
  <c r="AW70" i="1"/>
  <c r="AW69" i="1"/>
  <c r="AW68" i="1"/>
  <c r="AW63" i="1"/>
  <c r="AW62" i="1"/>
  <c r="AW61" i="1"/>
  <c r="AW59" i="1"/>
  <c r="AW58" i="1"/>
  <c r="AW55" i="1"/>
  <c r="AW54" i="1"/>
  <c r="AW50" i="1"/>
  <c r="AW46" i="1"/>
  <c r="AW45" i="1"/>
  <c r="AW44" i="1"/>
  <c r="AW43" i="1"/>
  <c r="AW42" i="1"/>
  <c r="AW41" i="1"/>
  <c r="AW39" i="1"/>
  <c r="AW38" i="1"/>
  <c r="AW37" i="1"/>
  <c r="AW36" i="1"/>
  <c r="AW35" i="1"/>
  <c r="AW34" i="1"/>
  <c r="AW33" i="1"/>
  <c r="AW32" i="1"/>
  <c r="AW31" i="1"/>
  <c r="AW30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W7" i="1"/>
  <c r="AW6" i="1"/>
  <c r="AW5" i="1"/>
  <c r="AW4" i="1"/>
  <c r="AW3" i="1"/>
  <c r="BK241" i="1"/>
  <c r="BJ241" i="1"/>
  <c r="BG241" i="1"/>
  <c r="BF241" i="1"/>
  <c r="AZ241" i="1"/>
  <c r="AY241" i="1"/>
  <c r="AV241" i="1"/>
  <c r="AU241" i="1"/>
  <c r="AT241" i="1"/>
  <c r="AS241" i="1"/>
  <c r="AR241" i="1"/>
  <c r="AQ241" i="1"/>
  <c r="AP241" i="1"/>
  <c r="AO241" i="1"/>
  <c r="AN241" i="1"/>
  <c r="BK239" i="1"/>
  <c r="BG239" i="1"/>
  <c r="BF239" i="1"/>
  <c r="AZ239" i="1"/>
  <c r="AY239" i="1"/>
  <c r="AV239" i="1"/>
  <c r="AU239" i="1"/>
  <c r="AT239" i="1"/>
  <c r="AS239" i="1"/>
  <c r="AR239" i="1"/>
  <c r="AQ239" i="1"/>
  <c r="AP239" i="1"/>
  <c r="AO239" i="1"/>
  <c r="AN239" i="1"/>
  <c r="BJ237" i="1"/>
  <c r="BG237" i="1"/>
  <c r="BF237" i="1"/>
  <c r="AZ237" i="1"/>
  <c r="AY237" i="1"/>
  <c r="AV237" i="1"/>
  <c r="AU237" i="1"/>
  <c r="AT237" i="1"/>
  <c r="AS237" i="1"/>
  <c r="AR237" i="1"/>
  <c r="AQ237" i="1"/>
  <c r="AP237" i="1"/>
  <c r="AO237" i="1"/>
  <c r="AN237" i="1"/>
  <c r="BK235" i="1"/>
  <c r="BG235" i="1"/>
  <c r="BF235" i="1"/>
  <c r="AZ235" i="1"/>
  <c r="AY235" i="1"/>
  <c r="AV235" i="1"/>
  <c r="AU235" i="1"/>
  <c r="AT235" i="1"/>
  <c r="AS235" i="1"/>
  <c r="AR235" i="1"/>
  <c r="AQ235" i="1"/>
  <c r="AP235" i="1"/>
  <c r="AO235" i="1"/>
  <c r="AN235" i="1"/>
  <c r="BG234" i="1"/>
  <c r="AT234" i="1"/>
  <c r="AS234" i="1"/>
  <c r="AR234" i="1"/>
  <c r="AQ234" i="1"/>
  <c r="AP234" i="1"/>
  <c r="AO234" i="1"/>
  <c r="AN234" i="1"/>
  <c r="BK233" i="1"/>
  <c r="BG233" i="1"/>
  <c r="BF233" i="1"/>
  <c r="AZ233" i="1"/>
  <c r="AY233" i="1"/>
  <c r="AV233" i="1"/>
  <c r="AU233" i="1"/>
  <c r="AT233" i="1"/>
  <c r="AS233" i="1"/>
  <c r="AR233" i="1"/>
  <c r="AQ233" i="1"/>
  <c r="AP233" i="1"/>
  <c r="AO233" i="1"/>
  <c r="AN233" i="1"/>
  <c r="BK232" i="1"/>
  <c r="BG232" i="1"/>
  <c r="BF232" i="1"/>
  <c r="AZ232" i="1"/>
  <c r="AY232" i="1"/>
  <c r="AV232" i="1"/>
  <c r="AU232" i="1"/>
  <c r="AT232" i="1"/>
  <c r="AS232" i="1"/>
  <c r="AR232" i="1"/>
  <c r="AQ232" i="1"/>
  <c r="AP232" i="1"/>
  <c r="AO232" i="1"/>
  <c r="AN232" i="1"/>
  <c r="BK230" i="1"/>
  <c r="BG230" i="1"/>
  <c r="BF230" i="1"/>
  <c r="AZ230" i="1"/>
  <c r="AY230" i="1"/>
  <c r="AV230" i="1"/>
  <c r="AU230" i="1"/>
  <c r="AT230" i="1"/>
  <c r="AS230" i="1"/>
  <c r="AR230" i="1"/>
  <c r="AQ230" i="1"/>
  <c r="AP230" i="1"/>
  <c r="AO230" i="1"/>
  <c r="AN230" i="1"/>
  <c r="BG229" i="1"/>
  <c r="AV229" i="1"/>
  <c r="AU229" i="1"/>
  <c r="AT229" i="1"/>
  <c r="AS229" i="1"/>
  <c r="AR229" i="1"/>
  <c r="AQ229" i="1"/>
  <c r="AP229" i="1"/>
  <c r="AO229" i="1"/>
  <c r="AN229" i="1"/>
  <c r="BK228" i="1"/>
  <c r="BG228" i="1"/>
  <c r="BF228" i="1"/>
  <c r="AZ228" i="1"/>
  <c r="AY228" i="1"/>
  <c r="AV228" i="1"/>
  <c r="AU228" i="1"/>
  <c r="AT228" i="1"/>
  <c r="AS228" i="1"/>
  <c r="AR228" i="1"/>
  <c r="AQ228" i="1"/>
  <c r="AP228" i="1"/>
  <c r="AO228" i="1"/>
  <c r="AN228" i="1"/>
  <c r="BK227" i="1"/>
  <c r="BG227" i="1"/>
  <c r="BF227" i="1"/>
  <c r="AZ227" i="1"/>
  <c r="AY227" i="1"/>
  <c r="AV227" i="1"/>
  <c r="AU227" i="1"/>
  <c r="AT227" i="1"/>
  <c r="AS227" i="1"/>
  <c r="AR227" i="1"/>
  <c r="AQ227" i="1"/>
  <c r="AP227" i="1"/>
  <c r="AO227" i="1"/>
  <c r="AN227" i="1"/>
  <c r="BK225" i="1"/>
  <c r="BG225" i="1"/>
  <c r="BF225" i="1"/>
  <c r="AZ225" i="1"/>
  <c r="AY225" i="1"/>
  <c r="AV225" i="1"/>
  <c r="AU225" i="1"/>
  <c r="AT225" i="1"/>
  <c r="AS225" i="1"/>
  <c r="AR225" i="1"/>
  <c r="AQ225" i="1"/>
  <c r="AP225" i="1"/>
  <c r="AO225" i="1"/>
  <c r="AN225" i="1"/>
  <c r="BK224" i="1"/>
  <c r="BG224" i="1"/>
  <c r="BF224" i="1"/>
  <c r="AZ224" i="1"/>
  <c r="AY224" i="1"/>
  <c r="AV224" i="1"/>
  <c r="AU224" i="1"/>
  <c r="AT224" i="1"/>
  <c r="AS224" i="1"/>
  <c r="AR224" i="1"/>
  <c r="AQ224" i="1"/>
  <c r="AP224" i="1"/>
  <c r="AO224" i="1"/>
  <c r="AN224" i="1"/>
  <c r="BG223" i="1"/>
  <c r="BF223" i="1"/>
  <c r="AZ223" i="1"/>
  <c r="AY223" i="1"/>
  <c r="AV223" i="1"/>
  <c r="AU223" i="1"/>
  <c r="AT223" i="1"/>
  <c r="AS223" i="1"/>
  <c r="AR223" i="1"/>
  <c r="AQ223" i="1"/>
  <c r="AP223" i="1"/>
  <c r="AO223" i="1"/>
  <c r="AN223" i="1"/>
  <c r="BK221" i="1"/>
  <c r="BG221" i="1"/>
  <c r="BF221" i="1"/>
  <c r="AZ221" i="1"/>
  <c r="AY221" i="1"/>
  <c r="AV221" i="1"/>
  <c r="AU221" i="1"/>
  <c r="AT221" i="1"/>
  <c r="AS221" i="1"/>
  <c r="AR221" i="1"/>
  <c r="AQ221" i="1"/>
  <c r="AP221" i="1"/>
  <c r="AO221" i="1"/>
  <c r="AN221" i="1"/>
  <c r="BK220" i="1"/>
  <c r="BG220" i="1"/>
  <c r="BF220" i="1"/>
  <c r="AZ220" i="1"/>
  <c r="AY220" i="1"/>
  <c r="AV220" i="1"/>
  <c r="AU220" i="1"/>
  <c r="AT220" i="1"/>
  <c r="AS220" i="1"/>
  <c r="AR220" i="1"/>
  <c r="AQ220" i="1"/>
  <c r="AP220" i="1"/>
  <c r="AO220" i="1"/>
  <c r="AN220" i="1"/>
  <c r="BK219" i="1"/>
  <c r="BJ219" i="1"/>
  <c r="BG219" i="1"/>
  <c r="BF219" i="1"/>
  <c r="AZ219" i="1"/>
  <c r="AY219" i="1"/>
  <c r="AV219" i="1"/>
  <c r="AU219" i="1"/>
  <c r="AT219" i="1"/>
  <c r="AS219" i="1"/>
  <c r="AR219" i="1"/>
  <c r="AQ219" i="1"/>
  <c r="AP219" i="1"/>
  <c r="AO219" i="1"/>
  <c r="AN219" i="1"/>
  <c r="BK218" i="1"/>
  <c r="BG218" i="1"/>
  <c r="BF218" i="1"/>
  <c r="AZ218" i="1"/>
  <c r="AY218" i="1"/>
  <c r="AV218" i="1"/>
  <c r="AU218" i="1"/>
  <c r="AT218" i="1"/>
  <c r="AS218" i="1"/>
  <c r="AR218" i="1"/>
  <c r="AQ218" i="1"/>
  <c r="AP218" i="1"/>
  <c r="AO218" i="1"/>
  <c r="AN218" i="1"/>
  <c r="BK217" i="1"/>
  <c r="BJ217" i="1"/>
  <c r="BG217" i="1"/>
  <c r="BF217" i="1"/>
  <c r="AZ217" i="1"/>
  <c r="AY217" i="1"/>
  <c r="AV217" i="1"/>
  <c r="AU217" i="1"/>
  <c r="AT217" i="1"/>
  <c r="AS217" i="1"/>
  <c r="AR217" i="1"/>
  <c r="AQ217" i="1"/>
  <c r="AP217" i="1"/>
  <c r="AO217" i="1"/>
  <c r="AN217" i="1"/>
  <c r="BK216" i="1"/>
  <c r="BG216" i="1"/>
  <c r="BF216" i="1"/>
  <c r="AZ216" i="1"/>
  <c r="AY216" i="1"/>
  <c r="AV216" i="1"/>
  <c r="AU216" i="1"/>
  <c r="AT216" i="1"/>
  <c r="AS216" i="1"/>
  <c r="AR216" i="1"/>
  <c r="AQ216" i="1"/>
  <c r="AP216" i="1"/>
  <c r="AO216" i="1"/>
  <c r="AN216" i="1"/>
  <c r="BK215" i="1"/>
  <c r="BG215" i="1"/>
  <c r="BF215" i="1"/>
  <c r="AZ215" i="1"/>
  <c r="AY215" i="1"/>
  <c r="AV215" i="1"/>
  <c r="AU215" i="1"/>
  <c r="AT215" i="1"/>
  <c r="AS215" i="1"/>
  <c r="AR215" i="1"/>
  <c r="AQ215" i="1"/>
  <c r="AP215" i="1"/>
  <c r="AO215" i="1"/>
  <c r="AN215" i="1"/>
  <c r="BG214" i="1"/>
  <c r="AV214" i="1"/>
  <c r="AU214" i="1"/>
  <c r="AT214" i="1"/>
  <c r="AS214" i="1"/>
  <c r="AR214" i="1"/>
  <c r="AQ214" i="1"/>
  <c r="AP214" i="1"/>
  <c r="AO214" i="1"/>
  <c r="AN214" i="1"/>
  <c r="BK213" i="1"/>
  <c r="BG213" i="1"/>
  <c r="BF213" i="1"/>
  <c r="AZ213" i="1"/>
  <c r="AY213" i="1"/>
  <c r="AV213" i="1"/>
  <c r="AU213" i="1"/>
  <c r="AT213" i="1"/>
  <c r="AS213" i="1"/>
  <c r="AR213" i="1"/>
  <c r="AQ213" i="1"/>
  <c r="AP213" i="1"/>
  <c r="AO213" i="1"/>
  <c r="AN213" i="1"/>
  <c r="BG212" i="1"/>
  <c r="AT212" i="1"/>
  <c r="AS212" i="1"/>
  <c r="AR212" i="1"/>
  <c r="AQ212" i="1"/>
  <c r="AP212" i="1"/>
  <c r="AO212" i="1"/>
  <c r="AN212" i="1"/>
  <c r="BG211" i="1"/>
  <c r="BF211" i="1"/>
  <c r="AZ211" i="1"/>
  <c r="AY211" i="1"/>
  <c r="AV211" i="1"/>
  <c r="AU211" i="1"/>
  <c r="AT211" i="1"/>
  <c r="AS211" i="1"/>
  <c r="AR211" i="1"/>
  <c r="AQ211" i="1"/>
  <c r="AP211" i="1"/>
  <c r="AO211" i="1"/>
  <c r="AN211" i="1"/>
  <c r="BG207" i="1"/>
  <c r="BF207" i="1"/>
  <c r="AZ207" i="1"/>
  <c r="AY207" i="1"/>
  <c r="AV207" i="1"/>
  <c r="AU207" i="1"/>
  <c r="AT207" i="1"/>
  <c r="AS207" i="1"/>
  <c r="AR207" i="1"/>
  <c r="AQ207" i="1"/>
  <c r="AP207" i="1"/>
  <c r="AO207" i="1"/>
  <c r="AN207" i="1"/>
  <c r="BG206" i="1"/>
  <c r="AV206" i="1"/>
  <c r="AU206" i="1"/>
  <c r="AT206" i="1"/>
  <c r="AS206" i="1"/>
  <c r="AR206" i="1"/>
  <c r="AQ206" i="1"/>
  <c r="AP206" i="1"/>
  <c r="AO206" i="1"/>
  <c r="AN206" i="1"/>
  <c r="BG205" i="1"/>
  <c r="BF205" i="1"/>
  <c r="AZ205" i="1"/>
  <c r="AY205" i="1"/>
  <c r="AV205" i="1"/>
  <c r="AU205" i="1"/>
  <c r="AT205" i="1"/>
  <c r="AS205" i="1"/>
  <c r="AR205" i="1"/>
  <c r="AQ205" i="1"/>
  <c r="AP205" i="1"/>
  <c r="AO205" i="1"/>
  <c r="AN205" i="1"/>
  <c r="BK203" i="1"/>
  <c r="BJ203" i="1"/>
  <c r="BG203" i="1"/>
  <c r="BF203" i="1"/>
  <c r="AZ203" i="1"/>
  <c r="AY203" i="1"/>
  <c r="AV203" i="1"/>
  <c r="AU203" i="1"/>
  <c r="AT203" i="1"/>
  <c r="AS203" i="1"/>
  <c r="AR203" i="1"/>
  <c r="AQ203" i="1"/>
  <c r="AP203" i="1"/>
  <c r="AO203" i="1"/>
  <c r="AN203" i="1"/>
  <c r="BG202" i="1"/>
  <c r="AV202" i="1"/>
  <c r="AU202" i="1"/>
  <c r="AT202" i="1"/>
  <c r="AS202" i="1"/>
  <c r="AR202" i="1"/>
  <c r="AQ202" i="1"/>
  <c r="AP202" i="1"/>
  <c r="AO202" i="1"/>
  <c r="AN202" i="1"/>
  <c r="BK201" i="1"/>
  <c r="BG201" i="1"/>
  <c r="BF201" i="1"/>
  <c r="AZ201" i="1"/>
  <c r="AY201" i="1"/>
  <c r="AV201" i="1"/>
  <c r="AU201" i="1"/>
  <c r="AT201" i="1"/>
  <c r="AS201" i="1"/>
  <c r="AR201" i="1"/>
  <c r="AQ201" i="1"/>
  <c r="AP201" i="1"/>
  <c r="AO201" i="1"/>
  <c r="AN201" i="1"/>
  <c r="BG199" i="1"/>
  <c r="BF199" i="1"/>
  <c r="AZ199" i="1"/>
  <c r="AY199" i="1"/>
  <c r="AV199" i="1"/>
  <c r="AU199" i="1"/>
  <c r="AT199" i="1"/>
  <c r="AS199" i="1"/>
  <c r="AR199" i="1"/>
  <c r="AQ199" i="1"/>
  <c r="AP199" i="1"/>
  <c r="AO199" i="1"/>
  <c r="AN199" i="1"/>
  <c r="BJ198" i="1"/>
  <c r="BG198" i="1"/>
  <c r="BF198" i="1"/>
  <c r="AZ198" i="1"/>
  <c r="AY198" i="1"/>
  <c r="AV198" i="1"/>
  <c r="AU198" i="1"/>
  <c r="AT198" i="1"/>
  <c r="AS198" i="1"/>
  <c r="AR198" i="1"/>
  <c r="AQ198" i="1"/>
  <c r="AP198" i="1"/>
  <c r="AO198" i="1"/>
  <c r="AN198" i="1"/>
  <c r="BG197" i="1"/>
  <c r="BF197" i="1"/>
  <c r="AZ197" i="1"/>
  <c r="AY197" i="1"/>
  <c r="AV197" i="1"/>
  <c r="AU197" i="1"/>
  <c r="AT197" i="1"/>
  <c r="AS197" i="1"/>
  <c r="AR197" i="1"/>
  <c r="AQ197" i="1"/>
  <c r="AP197" i="1"/>
  <c r="AO197" i="1"/>
  <c r="AN197" i="1"/>
  <c r="BK193" i="1"/>
  <c r="BG193" i="1"/>
  <c r="BF193" i="1"/>
  <c r="AZ193" i="1"/>
  <c r="AY193" i="1"/>
  <c r="AV193" i="1"/>
  <c r="AU193" i="1"/>
  <c r="AT193" i="1"/>
  <c r="AS193" i="1"/>
  <c r="AR193" i="1"/>
  <c r="AQ193" i="1"/>
  <c r="AP193" i="1"/>
  <c r="AO193" i="1"/>
  <c r="AN193" i="1"/>
  <c r="BK192" i="1"/>
  <c r="BG192" i="1"/>
  <c r="BF192" i="1"/>
  <c r="AZ192" i="1"/>
  <c r="AY192" i="1"/>
  <c r="AV192" i="1"/>
  <c r="AU192" i="1"/>
  <c r="AT192" i="1"/>
  <c r="AS192" i="1"/>
  <c r="AR192" i="1"/>
  <c r="AQ192" i="1"/>
  <c r="AP192" i="1"/>
  <c r="AO192" i="1"/>
  <c r="AN192" i="1"/>
  <c r="BG191" i="1"/>
  <c r="BF191" i="1"/>
  <c r="AZ191" i="1"/>
  <c r="AY191" i="1"/>
  <c r="AV191" i="1"/>
  <c r="AU191" i="1"/>
  <c r="AT191" i="1"/>
  <c r="AS191" i="1"/>
  <c r="AR191" i="1"/>
  <c r="AQ191" i="1"/>
  <c r="AP191" i="1"/>
  <c r="AO191" i="1"/>
  <c r="AN191" i="1"/>
  <c r="BK190" i="1"/>
  <c r="BG190" i="1"/>
  <c r="BF190" i="1"/>
  <c r="AZ190" i="1"/>
  <c r="AY190" i="1"/>
  <c r="AV190" i="1"/>
  <c r="AU190" i="1"/>
  <c r="AT190" i="1"/>
  <c r="AS190" i="1"/>
  <c r="AR190" i="1"/>
  <c r="AQ190" i="1"/>
  <c r="AP190" i="1"/>
  <c r="AO190" i="1"/>
  <c r="AN190" i="1"/>
  <c r="BG189" i="1"/>
  <c r="AV189" i="1"/>
  <c r="AU189" i="1"/>
  <c r="AT189" i="1"/>
  <c r="AS189" i="1"/>
  <c r="AR189" i="1"/>
  <c r="AQ189" i="1"/>
  <c r="AP189" i="1"/>
  <c r="AO189" i="1"/>
  <c r="AN189" i="1"/>
  <c r="BK188" i="1"/>
  <c r="BG188" i="1"/>
  <c r="BF188" i="1"/>
  <c r="AZ188" i="1"/>
  <c r="AY188" i="1"/>
  <c r="AV188" i="1"/>
  <c r="AU188" i="1"/>
  <c r="AT188" i="1"/>
  <c r="AS188" i="1"/>
  <c r="AR188" i="1"/>
  <c r="AQ188" i="1"/>
  <c r="AP188" i="1"/>
  <c r="AO188" i="1"/>
  <c r="AN188" i="1"/>
  <c r="BK185" i="1"/>
  <c r="BG185" i="1"/>
  <c r="BF185" i="1"/>
  <c r="AZ185" i="1"/>
  <c r="AY185" i="1"/>
  <c r="AV185" i="1"/>
  <c r="AU185" i="1"/>
  <c r="AT185" i="1"/>
  <c r="AS185" i="1"/>
  <c r="AR185" i="1"/>
  <c r="AQ185" i="1"/>
  <c r="AP185" i="1"/>
  <c r="AO185" i="1"/>
  <c r="AN185" i="1"/>
  <c r="BJ184" i="1"/>
  <c r="BG184" i="1"/>
  <c r="BF184" i="1"/>
  <c r="AZ184" i="1"/>
  <c r="AY184" i="1"/>
  <c r="AV184" i="1"/>
  <c r="AU184" i="1"/>
  <c r="AT184" i="1"/>
  <c r="AS184" i="1"/>
  <c r="AR184" i="1"/>
  <c r="AQ184" i="1"/>
  <c r="AP184" i="1"/>
  <c r="AO184" i="1"/>
  <c r="AN184" i="1"/>
  <c r="BK183" i="1"/>
  <c r="BG183" i="1"/>
  <c r="BF183" i="1"/>
  <c r="AZ183" i="1"/>
  <c r="AY183" i="1"/>
  <c r="AV183" i="1"/>
  <c r="AU183" i="1"/>
  <c r="AT183" i="1"/>
  <c r="AS183" i="1"/>
  <c r="AR183" i="1"/>
  <c r="AQ183" i="1"/>
  <c r="AP183" i="1"/>
  <c r="AO183" i="1"/>
  <c r="AN183" i="1"/>
  <c r="BK182" i="1"/>
  <c r="BG182" i="1"/>
  <c r="BF182" i="1"/>
  <c r="AZ182" i="1"/>
  <c r="AY182" i="1"/>
  <c r="AV182" i="1"/>
  <c r="AU182" i="1"/>
  <c r="AT182" i="1"/>
  <c r="AS182" i="1"/>
  <c r="AR182" i="1"/>
  <c r="AQ182" i="1"/>
  <c r="AP182" i="1"/>
  <c r="AO182" i="1"/>
  <c r="AN182" i="1"/>
  <c r="BK181" i="1"/>
  <c r="BG181" i="1"/>
  <c r="BF181" i="1"/>
  <c r="AZ181" i="1"/>
  <c r="AY181" i="1"/>
  <c r="AV181" i="1"/>
  <c r="AU181" i="1"/>
  <c r="AT181" i="1"/>
  <c r="AS181" i="1"/>
  <c r="AR181" i="1"/>
  <c r="AQ181" i="1"/>
  <c r="AP181" i="1"/>
  <c r="AO181" i="1"/>
  <c r="AN181" i="1"/>
  <c r="BK180" i="1"/>
  <c r="BG180" i="1"/>
  <c r="BF180" i="1"/>
  <c r="AZ180" i="1"/>
  <c r="AY180" i="1"/>
  <c r="AV180" i="1"/>
  <c r="AU180" i="1"/>
  <c r="AT180" i="1"/>
  <c r="AS180" i="1"/>
  <c r="AR180" i="1"/>
  <c r="AQ180" i="1"/>
  <c r="AP180" i="1"/>
  <c r="AO180" i="1"/>
  <c r="AN180" i="1"/>
  <c r="BK179" i="1"/>
  <c r="BG179" i="1"/>
  <c r="BF179" i="1"/>
  <c r="AZ179" i="1"/>
  <c r="AY179" i="1"/>
  <c r="AV179" i="1"/>
  <c r="AU179" i="1"/>
  <c r="AT179" i="1"/>
  <c r="AS179" i="1"/>
  <c r="AR179" i="1"/>
  <c r="AQ179" i="1"/>
  <c r="AP179" i="1"/>
  <c r="AO179" i="1"/>
  <c r="AN179" i="1"/>
  <c r="BG178" i="1"/>
  <c r="AV178" i="1"/>
  <c r="AU178" i="1"/>
  <c r="AT178" i="1"/>
  <c r="AS178" i="1"/>
  <c r="AR178" i="1"/>
  <c r="AQ178" i="1"/>
  <c r="AP178" i="1"/>
  <c r="AO178" i="1"/>
  <c r="AN178" i="1"/>
  <c r="BK177" i="1"/>
  <c r="BG177" i="1"/>
  <c r="BF177" i="1"/>
  <c r="AZ177" i="1"/>
  <c r="AY177" i="1"/>
  <c r="AV177" i="1"/>
  <c r="AU177" i="1"/>
  <c r="AT177" i="1"/>
  <c r="AS177" i="1"/>
  <c r="AR177" i="1"/>
  <c r="AQ177" i="1"/>
  <c r="AP177" i="1"/>
  <c r="AO177" i="1"/>
  <c r="AN177" i="1"/>
  <c r="BK176" i="1"/>
  <c r="BG176" i="1"/>
  <c r="BF176" i="1"/>
  <c r="AZ176" i="1"/>
  <c r="AY176" i="1"/>
  <c r="AV176" i="1"/>
  <c r="AU176" i="1"/>
  <c r="AT176" i="1"/>
  <c r="AS176" i="1"/>
  <c r="AR176" i="1"/>
  <c r="AQ176" i="1"/>
  <c r="AP176" i="1"/>
  <c r="AO176" i="1"/>
  <c r="AN176" i="1"/>
  <c r="BG175" i="1"/>
  <c r="BF175" i="1"/>
  <c r="AZ175" i="1"/>
  <c r="AY175" i="1"/>
  <c r="AV175" i="1"/>
  <c r="AU175" i="1"/>
  <c r="AT175" i="1"/>
  <c r="AS175" i="1"/>
  <c r="AR175" i="1"/>
  <c r="AQ175" i="1"/>
  <c r="AP175" i="1"/>
  <c r="AO175" i="1"/>
  <c r="AN175" i="1"/>
  <c r="BJ171" i="1"/>
  <c r="BG171" i="1"/>
  <c r="BF171" i="1"/>
  <c r="AZ171" i="1"/>
  <c r="AY171" i="1"/>
  <c r="AV171" i="1"/>
  <c r="AU171" i="1"/>
  <c r="AT171" i="1"/>
  <c r="AS171" i="1"/>
  <c r="AR171" i="1"/>
  <c r="AQ171" i="1"/>
  <c r="AP171" i="1"/>
  <c r="AO171" i="1"/>
  <c r="AN171" i="1"/>
  <c r="BK170" i="1"/>
  <c r="BG170" i="1"/>
  <c r="BF170" i="1"/>
  <c r="AZ170" i="1"/>
  <c r="AY170" i="1"/>
  <c r="AV170" i="1"/>
  <c r="AU170" i="1"/>
  <c r="AT170" i="1"/>
  <c r="AS170" i="1"/>
  <c r="AR170" i="1"/>
  <c r="AQ170" i="1"/>
  <c r="AP170" i="1"/>
  <c r="AO170" i="1"/>
  <c r="AN170" i="1"/>
  <c r="BG169" i="1"/>
  <c r="AV169" i="1"/>
  <c r="AU169" i="1"/>
  <c r="AT169" i="1"/>
  <c r="AS169" i="1"/>
  <c r="AR169" i="1"/>
  <c r="AQ169" i="1"/>
  <c r="AP169" i="1"/>
  <c r="AO169" i="1"/>
  <c r="AN169" i="1"/>
  <c r="BK168" i="1"/>
  <c r="BG168" i="1"/>
  <c r="BF168" i="1"/>
  <c r="AZ168" i="1"/>
  <c r="AY168" i="1"/>
  <c r="AV168" i="1"/>
  <c r="AU168" i="1"/>
  <c r="AT168" i="1"/>
  <c r="AS168" i="1"/>
  <c r="AR168" i="1"/>
  <c r="AQ168" i="1"/>
  <c r="AP168" i="1"/>
  <c r="AO168" i="1"/>
  <c r="AN168" i="1"/>
  <c r="BK167" i="1"/>
  <c r="BJ167" i="1"/>
  <c r="BG167" i="1"/>
  <c r="BF167" i="1"/>
  <c r="AZ167" i="1"/>
  <c r="AY167" i="1"/>
  <c r="AV167" i="1"/>
  <c r="AU167" i="1"/>
  <c r="AT167" i="1"/>
  <c r="AS167" i="1"/>
  <c r="AR167" i="1"/>
  <c r="AQ167" i="1"/>
  <c r="AP167" i="1"/>
  <c r="AO167" i="1"/>
  <c r="AN167" i="1"/>
  <c r="BG166" i="1"/>
  <c r="BF166" i="1"/>
  <c r="AZ166" i="1"/>
  <c r="AY166" i="1"/>
  <c r="AV166" i="1"/>
  <c r="AU166" i="1"/>
  <c r="AT166" i="1"/>
  <c r="AS166" i="1"/>
  <c r="AR166" i="1"/>
  <c r="AQ166" i="1"/>
  <c r="AP166" i="1"/>
  <c r="AO166" i="1"/>
  <c r="AN166" i="1"/>
  <c r="BK165" i="1"/>
  <c r="BJ165" i="1"/>
  <c r="BG165" i="1"/>
  <c r="BF165" i="1"/>
  <c r="AZ165" i="1"/>
  <c r="AY165" i="1"/>
  <c r="AV165" i="1"/>
  <c r="AU165" i="1"/>
  <c r="AT165" i="1"/>
  <c r="AS165" i="1"/>
  <c r="AR165" i="1"/>
  <c r="AQ165" i="1"/>
  <c r="AP165" i="1"/>
  <c r="AO165" i="1"/>
  <c r="AN165" i="1"/>
  <c r="BG164" i="1"/>
  <c r="BF164" i="1"/>
  <c r="AZ164" i="1"/>
  <c r="AY164" i="1"/>
  <c r="AV164" i="1"/>
  <c r="AU164" i="1"/>
  <c r="AT164" i="1"/>
  <c r="AS164" i="1"/>
  <c r="AR164" i="1"/>
  <c r="AQ164" i="1"/>
  <c r="AP164" i="1"/>
  <c r="AO164" i="1"/>
  <c r="AN164" i="1"/>
  <c r="BK163" i="1"/>
  <c r="BK161" i="1"/>
  <c r="BG161" i="1"/>
  <c r="BF161" i="1"/>
  <c r="AZ161" i="1"/>
  <c r="AY161" i="1"/>
  <c r="AV161" i="1"/>
  <c r="AU161" i="1"/>
  <c r="AT161" i="1"/>
  <c r="AS161" i="1"/>
  <c r="AR161" i="1"/>
  <c r="AQ161" i="1"/>
  <c r="AP161" i="1"/>
  <c r="AO161" i="1"/>
  <c r="AN161" i="1"/>
  <c r="BK160" i="1"/>
  <c r="BG160" i="1"/>
  <c r="BF160" i="1"/>
  <c r="AZ160" i="1"/>
  <c r="AY160" i="1"/>
  <c r="AV160" i="1"/>
  <c r="AU160" i="1"/>
  <c r="AT160" i="1"/>
  <c r="AS160" i="1"/>
  <c r="AR160" i="1"/>
  <c r="AQ160" i="1"/>
  <c r="AP160" i="1"/>
  <c r="AO160" i="1"/>
  <c r="AN160" i="1"/>
  <c r="BG159" i="1"/>
  <c r="AV159" i="1"/>
  <c r="AU159" i="1"/>
  <c r="AT159" i="1"/>
  <c r="AS159" i="1"/>
  <c r="AR159" i="1"/>
  <c r="AQ159" i="1"/>
  <c r="AP159" i="1"/>
  <c r="AO159" i="1"/>
  <c r="AN159" i="1"/>
  <c r="BG158" i="1"/>
  <c r="AV158" i="1"/>
  <c r="AU158" i="1"/>
  <c r="AT158" i="1"/>
  <c r="AS158" i="1"/>
  <c r="AR158" i="1"/>
  <c r="AQ158" i="1"/>
  <c r="AP158" i="1"/>
  <c r="AO158" i="1"/>
  <c r="AN158" i="1"/>
  <c r="BK157" i="1"/>
  <c r="BJ157" i="1"/>
  <c r="BG157" i="1"/>
  <c r="BF157" i="1"/>
  <c r="AZ157" i="1"/>
  <c r="AY157" i="1"/>
  <c r="AV157" i="1"/>
  <c r="AU157" i="1"/>
  <c r="AT157" i="1"/>
  <c r="AS157" i="1"/>
  <c r="AR157" i="1"/>
  <c r="AQ157" i="1"/>
  <c r="AP157" i="1"/>
  <c r="AO157" i="1"/>
  <c r="AN157" i="1"/>
  <c r="BK156" i="1"/>
  <c r="BG156" i="1"/>
  <c r="BF156" i="1"/>
  <c r="AZ156" i="1"/>
  <c r="AY156" i="1"/>
  <c r="AV156" i="1"/>
  <c r="AU156" i="1"/>
  <c r="AT156" i="1"/>
  <c r="AS156" i="1"/>
  <c r="AR156" i="1"/>
  <c r="AQ156" i="1"/>
  <c r="AP156" i="1"/>
  <c r="AO156" i="1"/>
  <c r="AN156" i="1"/>
  <c r="BG155" i="1"/>
  <c r="AT155" i="1"/>
  <c r="AS155" i="1"/>
  <c r="AR155" i="1"/>
  <c r="AQ155" i="1"/>
  <c r="AP155" i="1"/>
  <c r="AO155" i="1"/>
  <c r="AN155" i="1"/>
  <c r="BJ146" i="1"/>
  <c r="BG146" i="1"/>
  <c r="BF146" i="1"/>
  <c r="AZ146" i="1"/>
  <c r="AY146" i="1"/>
  <c r="AV146" i="1"/>
  <c r="AU146" i="1"/>
  <c r="AT146" i="1"/>
  <c r="AS146" i="1"/>
  <c r="AR146" i="1"/>
  <c r="AQ146" i="1"/>
  <c r="AP146" i="1"/>
  <c r="AO146" i="1"/>
  <c r="AN146" i="1"/>
  <c r="BG145" i="1"/>
  <c r="AT145" i="1"/>
  <c r="AS145" i="1"/>
  <c r="AR145" i="1"/>
  <c r="AQ145" i="1"/>
  <c r="AP145" i="1"/>
  <c r="AO145" i="1"/>
  <c r="AN145" i="1"/>
  <c r="BG144" i="1"/>
  <c r="BF144" i="1"/>
  <c r="AZ144" i="1"/>
  <c r="AY144" i="1"/>
  <c r="AV144" i="1"/>
  <c r="AU144" i="1"/>
  <c r="AT144" i="1"/>
  <c r="AS144" i="1"/>
  <c r="AR144" i="1"/>
  <c r="AQ144" i="1"/>
  <c r="AP144" i="1"/>
  <c r="AO144" i="1"/>
  <c r="AN144" i="1"/>
  <c r="BG143" i="1"/>
  <c r="BF143" i="1"/>
  <c r="AZ143" i="1"/>
  <c r="AY143" i="1"/>
  <c r="AV143" i="1"/>
  <c r="AU143" i="1"/>
  <c r="AT143" i="1"/>
  <c r="AS143" i="1"/>
  <c r="AR143" i="1"/>
  <c r="AQ143" i="1"/>
  <c r="AP143" i="1"/>
  <c r="AO143" i="1"/>
  <c r="AN143" i="1"/>
  <c r="BG142" i="1"/>
  <c r="AT142" i="1"/>
  <c r="AS142" i="1"/>
  <c r="AR142" i="1"/>
  <c r="AQ142" i="1"/>
  <c r="AP142" i="1"/>
  <c r="AO142" i="1"/>
  <c r="AN142" i="1"/>
  <c r="BG141" i="1"/>
  <c r="BF141" i="1"/>
  <c r="AZ141" i="1"/>
  <c r="AY141" i="1"/>
  <c r="AV141" i="1"/>
  <c r="AU141" i="1"/>
  <c r="AT141" i="1"/>
  <c r="AS141" i="1"/>
  <c r="AR141" i="1"/>
  <c r="AQ141" i="1"/>
  <c r="AP141" i="1"/>
  <c r="AO141" i="1"/>
  <c r="AN141" i="1"/>
  <c r="BK140" i="1"/>
  <c r="BG140" i="1"/>
  <c r="BF140" i="1"/>
  <c r="AZ140" i="1"/>
  <c r="AY140" i="1"/>
  <c r="AV140" i="1"/>
  <c r="AU140" i="1"/>
  <c r="AT140" i="1"/>
  <c r="AS140" i="1"/>
  <c r="AR140" i="1"/>
  <c r="AQ140" i="1"/>
  <c r="AP140" i="1"/>
  <c r="AO140" i="1"/>
  <c r="AN140" i="1"/>
  <c r="BG138" i="1"/>
  <c r="BF138" i="1"/>
  <c r="AZ138" i="1"/>
  <c r="AY138" i="1"/>
  <c r="AV138" i="1"/>
  <c r="AU138" i="1"/>
  <c r="AT138" i="1"/>
  <c r="AS138" i="1"/>
  <c r="AR138" i="1"/>
  <c r="AQ138" i="1"/>
  <c r="AP138" i="1"/>
  <c r="AO138" i="1"/>
  <c r="AN138" i="1"/>
  <c r="BK137" i="1"/>
  <c r="BG137" i="1"/>
  <c r="BF137" i="1"/>
  <c r="AZ137" i="1"/>
  <c r="AY137" i="1"/>
  <c r="AV137" i="1"/>
  <c r="AU137" i="1"/>
  <c r="AT137" i="1"/>
  <c r="AS137" i="1"/>
  <c r="AR137" i="1"/>
  <c r="AQ137" i="1"/>
  <c r="AP137" i="1"/>
  <c r="AO137" i="1"/>
  <c r="AN137" i="1"/>
  <c r="BG136" i="1"/>
  <c r="BF136" i="1"/>
  <c r="AZ136" i="1"/>
  <c r="AY136" i="1"/>
  <c r="AV136" i="1"/>
  <c r="AU136" i="1"/>
  <c r="AT136" i="1"/>
  <c r="AS136" i="1"/>
  <c r="AR136" i="1"/>
  <c r="AQ136" i="1"/>
  <c r="AP136" i="1"/>
  <c r="AO136" i="1"/>
  <c r="AN136" i="1"/>
  <c r="BJ135" i="1"/>
  <c r="BG135" i="1"/>
  <c r="BF135" i="1"/>
  <c r="AZ135" i="1"/>
  <c r="AY135" i="1"/>
  <c r="AV135" i="1"/>
  <c r="AU135" i="1"/>
  <c r="AT135" i="1"/>
  <c r="AS135" i="1"/>
  <c r="AR135" i="1"/>
  <c r="AQ135" i="1"/>
  <c r="AP135" i="1"/>
  <c r="AO135" i="1"/>
  <c r="AN135" i="1"/>
  <c r="BK134" i="1"/>
  <c r="BG134" i="1"/>
  <c r="BF134" i="1"/>
  <c r="AZ134" i="1"/>
  <c r="AY134" i="1"/>
  <c r="AV134" i="1"/>
  <c r="AU134" i="1"/>
  <c r="AT134" i="1"/>
  <c r="AS134" i="1"/>
  <c r="AR134" i="1"/>
  <c r="AQ134" i="1"/>
  <c r="AP134" i="1"/>
  <c r="AO134" i="1"/>
  <c r="AN134" i="1"/>
  <c r="BG133" i="1"/>
  <c r="BF133" i="1"/>
  <c r="AZ133" i="1"/>
  <c r="AY133" i="1"/>
  <c r="AV133" i="1"/>
  <c r="AU133" i="1"/>
  <c r="AT133" i="1"/>
  <c r="AS133" i="1"/>
  <c r="AR133" i="1"/>
  <c r="AQ133" i="1"/>
  <c r="AP133" i="1"/>
  <c r="AO133" i="1"/>
  <c r="AN133" i="1"/>
  <c r="BG127" i="1"/>
  <c r="BF127" i="1"/>
  <c r="AZ127" i="1"/>
  <c r="AY127" i="1"/>
  <c r="AV127" i="1"/>
  <c r="AU127" i="1"/>
  <c r="AT127" i="1"/>
  <c r="AS127" i="1"/>
  <c r="AR127" i="1"/>
  <c r="AQ127" i="1"/>
  <c r="AP127" i="1"/>
  <c r="AO127" i="1"/>
  <c r="AN127" i="1"/>
  <c r="BG126" i="1"/>
  <c r="BF126" i="1"/>
  <c r="AZ126" i="1"/>
  <c r="AY126" i="1"/>
  <c r="AV126" i="1"/>
  <c r="AU126" i="1"/>
  <c r="AT126" i="1"/>
  <c r="AS126" i="1"/>
  <c r="AR126" i="1"/>
  <c r="AQ126" i="1"/>
  <c r="AP126" i="1"/>
  <c r="AO126" i="1"/>
  <c r="AN126" i="1"/>
  <c r="BG125" i="1"/>
  <c r="AV125" i="1"/>
  <c r="AU125" i="1"/>
  <c r="AT125" i="1"/>
  <c r="AS125" i="1"/>
  <c r="AR125" i="1"/>
  <c r="AQ125" i="1"/>
  <c r="AP125" i="1"/>
  <c r="AO125" i="1"/>
  <c r="AN125" i="1"/>
  <c r="BK124" i="1"/>
  <c r="BG124" i="1"/>
  <c r="BF124" i="1"/>
  <c r="AZ124" i="1"/>
  <c r="AY124" i="1"/>
  <c r="AV124" i="1"/>
  <c r="AU124" i="1"/>
  <c r="AT124" i="1"/>
  <c r="AS124" i="1"/>
  <c r="AR124" i="1"/>
  <c r="AQ124" i="1"/>
  <c r="AP124" i="1"/>
  <c r="AO124" i="1"/>
  <c r="AN124" i="1"/>
  <c r="BG121" i="1"/>
  <c r="BF121" i="1"/>
  <c r="AZ121" i="1"/>
  <c r="AY121" i="1"/>
  <c r="AV121" i="1"/>
  <c r="AU121" i="1"/>
  <c r="AT121" i="1"/>
  <c r="AS121" i="1"/>
  <c r="AR121" i="1"/>
  <c r="AQ121" i="1"/>
  <c r="AP121" i="1"/>
  <c r="AO121" i="1"/>
  <c r="AN121" i="1"/>
  <c r="BG120" i="1"/>
  <c r="AV120" i="1"/>
  <c r="AU120" i="1"/>
  <c r="AT120" i="1"/>
  <c r="AS120" i="1"/>
  <c r="AR120" i="1"/>
  <c r="AQ120" i="1"/>
  <c r="AP120" i="1"/>
  <c r="AO120" i="1"/>
  <c r="AN120" i="1"/>
  <c r="BK119" i="1"/>
  <c r="BJ119" i="1"/>
  <c r="BG119" i="1"/>
  <c r="BF119" i="1"/>
  <c r="AZ119" i="1"/>
  <c r="AY119" i="1"/>
  <c r="AV119" i="1"/>
  <c r="AU119" i="1"/>
  <c r="AT119" i="1"/>
  <c r="AS119" i="1"/>
  <c r="AR119" i="1"/>
  <c r="AQ119" i="1"/>
  <c r="AP119" i="1"/>
  <c r="AO119" i="1"/>
  <c r="AN119" i="1"/>
  <c r="BK118" i="1"/>
  <c r="BG118" i="1"/>
  <c r="BF118" i="1"/>
  <c r="AZ118" i="1"/>
  <c r="AY118" i="1"/>
  <c r="AV118" i="1"/>
  <c r="AU118" i="1"/>
  <c r="AT118" i="1"/>
  <c r="AS118" i="1"/>
  <c r="AR118" i="1"/>
  <c r="AQ118" i="1"/>
  <c r="AP118" i="1"/>
  <c r="AO118" i="1"/>
  <c r="AN118" i="1"/>
  <c r="BK117" i="1"/>
  <c r="BG117" i="1"/>
  <c r="BF117" i="1"/>
  <c r="AZ117" i="1"/>
  <c r="AY117" i="1"/>
  <c r="AV117" i="1"/>
  <c r="AU117" i="1"/>
  <c r="AT117" i="1"/>
  <c r="AS117" i="1"/>
  <c r="AR117" i="1"/>
  <c r="AQ117" i="1"/>
  <c r="AP117" i="1"/>
  <c r="AO117" i="1"/>
  <c r="AN117" i="1"/>
  <c r="BK116" i="1"/>
  <c r="BG116" i="1"/>
  <c r="BF116" i="1"/>
  <c r="AZ116" i="1"/>
  <c r="AY116" i="1"/>
  <c r="AV116" i="1"/>
  <c r="AU116" i="1"/>
  <c r="AT116" i="1"/>
  <c r="AS116" i="1"/>
  <c r="AR116" i="1"/>
  <c r="AQ116" i="1"/>
  <c r="AP116" i="1"/>
  <c r="AO116" i="1"/>
  <c r="AN116" i="1"/>
  <c r="BK115" i="1"/>
  <c r="BJ115" i="1"/>
  <c r="BG115" i="1"/>
  <c r="BF115" i="1"/>
  <c r="AZ115" i="1"/>
  <c r="AY115" i="1"/>
  <c r="AV115" i="1"/>
  <c r="AU115" i="1"/>
  <c r="AT115" i="1"/>
  <c r="AS115" i="1"/>
  <c r="AR115" i="1"/>
  <c r="AQ115" i="1"/>
  <c r="AP115" i="1"/>
  <c r="AO115" i="1"/>
  <c r="AN115" i="1"/>
  <c r="BG111" i="1"/>
  <c r="BF111" i="1"/>
  <c r="AZ111" i="1"/>
  <c r="AY111" i="1"/>
  <c r="AV111" i="1"/>
  <c r="AU111" i="1"/>
  <c r="AT111" i="1"/>
  <c r="AS111" i="1"/>
  <c r="AR111" i="1"/>
  <c r="AQ111" i="1"/>
  <c r="AP111" i="1"/>
  <c r="AO111" i="1"/>
  <c r="AN111" i="1"/>
  <c r="BJ109" i="1"/>
  <c r="BG109" i="1"/>
  <c r="BF109" i="1"/>
  <c r="AZ109" i="1"/>
  <c r="AY109" i="1"/>
  <c r="AV109" i="1"/>
  <c r="AU109" i="1"/>
  <c r="AT109" i="1"/>
  <c r="AS109" i="1"/>
  <c r="AR109" i="1"/>
  <c r="AQ109" i="1"/>
  <c r="AP109" i="1"/>
  <c r="AO109" i="1"/>
  <c r="AN109" i="1"/>
  <c r="BK104" i="1"/>
  <c r="BJ104" i="1"/>
  <c r="BG104" i="1"/>
  <c r="BF104" i="1"/>
  <c r="AZ104" i="1"/>
  <c r="AY104" i="1"/>
  <c r="AV104" i="1"/>
  <c r="AU104" i="1"/>
  <c r="AT104" i="1"/>
  <c r="AS104" i="1"/>
  <c r="AR104" i="1"/>
  <c r="AQ104" i="1"/>
  <c r="AP104" i="1"/>
  <c r="BG103" i="1"/>
  <c r="BF103" i="1"/>
  <c r="AZ103" i="1"/>
  <c r="AY103" i="1"/>
  <c r="AV103" i="1"/>
  <c r="AU103" i="1"/>
  <c r="AT103" i="1"/>
  <c r="AS103" i="1"/>
  <c r="AR103" i="1"/>
  <c r="AQ103" i="1"/>
  <c r="AP103" i="1"/>
  <c r="AO103" i="1"/>
  <c r="AN103" i="1"/>
  <c r="BK101" i="1"/>
  <c r="BG101" i="1"/>
  <c r="BF101" i="1"/>
  <c r="AZ101" i="1"/>
  <c r="AY101" i="1"/>
  <c r="AV101" i="1"/>
  <c r="AU101" i="1"/>
  <c r="AT101" i="1"/>
  <c r="AS101" i="1"/>
  <c r="AR101" i="1"/>
  <c r="AQ101" i="1"/>
  <c r="AP101" i="1"/>
  <c r="AO101" i="1"/>
  <c r="AN101" i="1"/>
  <c r="BK100" i="1"/>
  <c r="BG100" i="1"/>
  <c r="BF100" i="1"/>
  <c r="AZ100" i="1"/>
  <c r="AY100" i="1"/>
  <c r="AV100" i="1"/>
  <c r="AU100" i="1"/>
  <c r="AT100" i="1"/>
  <c r="AS100" i="1"/>
  <c r="AR100" i="1"/>
  <c r="AQ100" i="1"/>
  <c r="AP100" i="1"/>
  <c r="AO100" i="1"/>
  <c r="AN100" i="1"/>
  <c r="BK99" i="1"/>
  <c r="BG99" i="1"/>
  <c r="BF99" i="1"/>
  <c r="AZ99" i="1"/>
  <c r="AY99" i="1"/>
  <c r="AV99" i="1"/>
  <c r="AU99" i="1"/>
  <c r="AT99" i="1"/>
  <c r="AS99" i="1"/>
  <c r="AR99" i="1"/>
  <c r="AQ99" i="1"/>
  <c r="AP99" i="1"/>
  <c r="AO99" i="1"/>
  <c r="AN99" i="1"/>
  <c r="BJ98" i="1"/>
  <c r="BG98" i="1"/>
  <c r="BF98" i="1"/>
  <c r="AZ98" i="1"/>
  <c r="AY98" i="1"/>
  <c r="AV98" i="1"/>
  <c r="AU98" i="1"/>
  <c r="AT98" i="1"/>
  <c r="AS98" i="1"/>
  <c r="AR98" i="1"/>
  <c r="AQ98" i="1"/>
  <c r="AP98" i="1"/>
  <c r="AO98" i="1"/>
  <c r="AN98" i="1"/>
  <c r="BK97" i="1"/>
  <c r="BG97" i="1"/>
  <c r="BF97" i="1"/>
  <c r="AZ97" i="1"/>
  <c r="AY97" i="1"/>
  <c r="AV97" i="1"/>
  <c r="AU97" i="1"/>
  <c r="AT97" i="1"/>
  <c r="AS97" i="1"/>
  <c r="AR97" i="1"/>
  <c r="AQ97" i="1"/>
  <c r="AP97" i="1"/>
  <c r="AO97" i="1"/>
  <c r="AN97" i="1"/>
  <c r="BG96" i="1"/>
  <c r="AV96" i="1"/>
  <c r="AU96" i="1"/>
  <c r="AT96" i="1"/>
  <c r="AS96" i="1"/>
  <c r="AR96" i="1"/>
  <c r="AQ96" i="1"/>
  <c r="AP96" i="1"/>
  <c r="AO96" i="1"/>
  <c r="AN96" i="1"/>
  <c r="BK95" i="1"/>
  <c r="BJ95" i="1"/>
  <c r="BG95" i="1"/>
  <c r="BF95" i="1"/>
  <c r="AZ95" i="1"/>
  <c r="AY95" i="1"/>
  <c r="AV95" i="1"/>
  <c r="AU95" i="1"/>
  <c r="AT95" i="1"/>
  <c r="AS95" i="1"/>
  <c r="AR95" i="1"/>
  <c r="AQ95" i="1"/>
  <c r="AP95" i="1"/>
  <c r="AO95" i="1"/>
  <c r="AN95" i="1"/>
  <c r="BK93" i="1"/>
  <c r="BJ93" i="1"/>
  <c r="BG93" i="1"/>
  <c r="BF93" i="1"/>
  <c r="AZ93" i="1"/>
  <c r="AY93" i="1"/>
  <c r="AV93" i="1"/>
  <c r="AU93" i="1"/>
  <c r="AT93" i="1"/>
  <c r="AS93" i="1"/>
  <c r="AR93" i="1"/>
  <c r="AQ93" i="1"/>
  <c r="AP93" i="1"/>
  <c r="AO93" i="1"/>
  <c r="AN93" i="1"/>
  <c r="BK92" i="1"/>
  <c r="BG92" i="1"/>
  <c r="BF92" i="1"/>
  <c r="AZ92" i="1"/>
  <c r="AY92" i="1"/>
  <c r="AV92" i="1"/>
  <c r="AU92" i="1"/>
  <c r="AT92" i="1"/>
  <c r="AS92" i="1"/>
  <c r="AR92" i="1"/>
  <c r="AQ92" i="1"/>
  <c r="AP92" i="1"/>
  <c r="AO92" i="1"/>
  <c r="AN92" i="1"/>
  <c r="BG91" i="1"/>
  <c r="BF91" i="1"/>
  <c r="AZ91" i="1"/>
  <c r="AY91" i="1"/>
  <c r="AV91" i="1"/>
  <c r="AU91" i="1"/>
  <c r="AT91" i="1"/>
  <c r="AS91" i="1"/>
  <c r="AR91" i="1"/>
  <c r="AQ91" i="1"/>
  <c r="AP91" i="1"/>
  <c r="AO91" i="1"/>
  <c r="AN91" i="1"/>
  <c r="BG90" i="1"/>
  <c r="BF90" i="1"/>
  <c r="AZ90" i="1"/>
  <c r="AY90" i="1"/>
  <c r="AV90" i="1"/>
  <c r="AU90" i="1"/>
  <c r="AT90" i="1"/>
  <c r="AS90" i="1"/>
  <c r="AR90" i="1"/>
  <c r="AQ90" i="1"/>
  <c r="AP90" i="1"/>
  <c r="AO90" i="1"/>
  <c r="AN90" i="1"/>
  <c r="BK89" i="1"/>
  <c r="BG89" i="1"/>
  <c r="BF89" i="1"/>
  <c r="AZ89" i="1"/>
  <c r="AY89" i="1"/>
  <c r="AV89" i="1"/>
  <c r="AU89" i="1"/>
  <c r="AT89" i="1"/>
  <c r="AS89" i="1"/>
  <c r="AR89" i="1"/>
  <c r="AQ89" i="1"/>
  <c r="AP89" i="1"/>
  <c r="AO89" i="1"/>
  <c r="AN89" i="1"/>
  <c r="BG88" i="1"/>
  <c r="BF88" i="1"/>
  <c r="AZ88" i="1"/>
  <c r="AY88" i="1"/>
  <c r="AV88" i="1"/>
  <c r="AU88" i="1"/>
  <c r="AT88" i="1"/>
  <c r="AS88" i="1"/>
  <c r="AR88" i="1"/>
  <c r="AQ88" i="1"/>
  <c r="AP88" i="1"/>
  <c r="AO88" i="1"/>
  <c r="AN88" i="1"/>
  <c r="BG86" i="1"/>
  <c r="AV86" i="1"/>
  <c r="AU86" i="1"/>
  <c r="AT86" i="1"/>
  <c r="AS86" i="1"/>
  <c r="AR86" i="1"/>
  <c r="AQ86" i="1"/>
  <c r="AP86" i="1"/>
  <c r="AO86" i="1"/>
  <c r="AN86" i="1"/>
  <c r="BK85" i="1"/>
  <c r="BG85" i="1"/>
  <c r="BF85" i="1"/>
  <c r="AZ85" i="1"/>
  <c r="AY85" i="1"/>
  <c r="AV85" i="1"/>
  <c r="AU85" i="1"/>
  <c r="AT85" i="1"/>
  <c r="AS85" i="1"/>
  <c r="AR85" i="1"/>
  <c r="AQ85" i="1"/>
  <c r="AP85" i="1"/>
  <c r="AO85" i="1"/>
  <c r="AN85" i="1"/>
  <c r="BG79" i="1"/>
  <c r="BF79" i="1"/>
  <c r="AZ79" i="1"/>
  <c r="AY79" i="1"/>
  <c r="AV79" i="1"/>
  <c r="AU79" i="1"/>
  <c r="AT79" i="1"/>
  <c r="AS79" i="1"/>
  <c r="AR79" i="1"/>
  <c r="AQ79" i="1"/>
  <c r="AP79" i="1"/>
  <c r="AO79" i="1"/>
  <c r="AN79" i="1"/>
  <c r="BG78" i="1"/>
  <c r="AV78" i="1"/>
  <c r="AU78" i="1"/>
  <c r="AT78" i="1"/>
  <c r="AS78" i="1"/>
  <c r="AR78" i="1"/>
  <c r="AQ78" i="1"/>
  <c r="AP78" i="1"/>
  <c r="AO78" i="1"/>
  <c r="AN78" i="1"/>
  <c r="BK77" i="1"/>
  <c r="BG77" i="1"/>
  <c r="BF77" i="1"/>
  <c r="AZ77" i="1"/>
  <c r="AY77" i="1"/>
  <c r="AV77" i="1"/>
  <c r="AU77" i="1"/>
  <c r="AT77" i="1"/>
  <c r="AS77" i="1"/>
  <c r="AR77" i="1"/>
  <c r="AQ77" i="1"/>
  <c r="AP77" i="1"/>
  <c r="AO77" i="1"/>
  <c r="AN77" i="1"/>
  <c r="BG76" i="1"/>
  <c r="BF76" i="1"/>
  <c r="AZ76" i="1"/>
  <c r="AY76" i="1"/>
  <c r="AV76" i="1"/>
  <c r="AU76" i="1"/>
  <c r="AT76" i="1"/>
  <c r="AS76" i="1"/>
  <c r="AR76" i="1"/>
  <c r="AQ76" i="1"/>
  <c r="AP76" i="1"/>
  <c r="AO76" i="1"/>
  <c r="AN76" i="1"/>
  <c r="BK75" i="1"/>
  <c r="BG75" i="1"/>
  <c r="BF75" i="1"/>
  <c r="AZ75" i="1"/>
  <c r="AY75" i="1"/>
  <c r="AV75" i="1"/>
  <c r="AU75" i="1"/>
  <c r="AT75" i="1"/>
  <c r="AS75" i="1"/>
  <c r="AR75" i="1"/>
  <c r="AQ75" i="1"/>
  <c r="AP75" i="1"/>
  <c r="AO75" i="1"/>
  <c r="AN75" i="1"/>
  <c r="BG74" i="1"/>
  <c r="AV74" i="1"/>
  <c r="AU74" i="1"/>
  <c r="AT74" i="1"/>
  <c r="AS74" i="1"/>
  <c r="AR74" i="1"/>
  <c r="AQ74" i="1"/>
  <c r="AP74" i="1"/>
  <c r="AO74" i="1"/>
  <c r="AN74" i="1"/>
  <c r="BK73" i="1"/>
  <c r="BG73" i="1"/>
  <c r="BF73" i="1"/>
  <c r="AZ73" i="1"/>
  <c r="AY73" i="1"/>
  <c r="AV73" i="1"/>
  <c r="AU73" i="1"/>
  <c r="AT73" i="1"/>
  <c r="AS73" i="1"/>
  <c r="AR73" i="1"/>
  <c r="AQ73" i="1"/>
  <c r="AP73" i="1"/>
  <c r="AO73" i="1"/>
  <c r="AN73" i="1"/>
  <c r="BG72" i="1"/>
  <c r="BF72" i="1"/>
  <c r="AZ72" i="1"/>
  <c r="AY72" i="1"/>
  <c r="AV72" i="1"/>
  <c r="AU72" i="1"/>
  <c r="AT72" i="1"/>
  <c r="AS72" i="1"/>
  <c r="AR72" i="1"/>
  <c r="AQ72" i="1"/>
  <c r="AP72" i="1"/>
  <c r="AO72" i="1"/>
  <c r="AN72" i="1"/>
  <c r="BK71" i="1"/>
  <c r="BG71" i="1"/>
  <c r="BF71" i="1"/>
  <c r="AZ71" i="1"/>
  <c r="AY71" i="1"/>
  <c r="AV71" i="1"/>
  <c r="AU71" i="1"/>
  <c r="AT71" i="1"/>
  <c r="AS71" i="1"/>
  <c r="AR71" i="1"/>
  <c r="AQ71" i="1"/>
  <c r="AP71" i="1"/>
  <c r="AO71" i="1"/>
  <c r="AN71" i="1"/>
  <c r="BJ70" i="1"/>
  <c r="BG70" i="1"/>
  <c r="BF70" i="1"/>
  <c r="AZ70" i="1"/>
  <c r="AY70" i="1"/>
  <c r="AV70" i="1"/>
  <c r="AU70" i="1"/>
  <c r="AT70" i="1"/>
  <c r="AS70" i="1"/>
  <c r="AR70" i="1"/>
  <c r="AQ70" i="1"/>
  <c r="AP70" i="1"/>
  <c r="AO70" i="1"/>
  <c r="AN70" i="1"/>
  <c r="BG69" i="1"/>
  <c r="BF69" i="1"/>
  <c r="AZ69" i="1"/>
  <c r="AY69" i="1"/>
  <c r="AV69" i="1"/>
  <c r="AU69" i="1"/>
  <c r="AT69" i="1"/>
  <c r="AS69" i="1"/>
  <c r="AR69" i="1"/>
  <c r="AQ69" i="1"/>
  <c r="AP69" i="1"/>
  <c r="AO69" i="1"/>
  <c r="AN69" i="1"/>
  <c r="BG68" i="1"/>
  <c r="BF68" i="1"/>
  <c r="AZ68" i="1"/>
  <c r="AY68" i="1"/>
  <c r="AV68" i="1"/>
  <c r="AU68" i="1"/>
  <c r="AT68" i="1"/>
  <c r="AS68" i="1"/>
  <c r="AR68" i="1"/>
  <c r="AQ68" i="1"/>
  <c r="AP68" i="1"/>
  <c r="AO68" i="1"/>
  <c r="AN68" i="1"/>
  <c r="BG63" i="1"/>
  <c r="BF63" i="1"/>
  <c r="AZ63" i="1"/>
  <c r="AY63" i="1"/>
  <c r="AV63" i="1"/>
  <c r="AU63" i="1"/>
  <c r="AT63" i="1"/>
  <c r="AS63" i="1"/>
  <c r="AR63" i="1"/>
  <c r="AQ63" i="1"/>
  <c r="AP63" i="1"/>
  <c r="AO63" i="1"/>
  <c r="AN63" i="1"/>
  <c r="BG62" i="1"/>
  <c r="AV62" i="1"/>
  <c r="AU62" i="1"/>
  <c r="AT62" i="1"/>
  <c r="AS62" i="1"/>
  <c r="AR62" i="1"/>
  <c r="AQ62" i="1"/>
  <c r="AP62" i="1"/>
  <c r="AO62" i="1"/>
  <c r="AN62" i="1"/>
  <c r="BK61" i="1"/>
  <c r="BF61" i="1"/>
  <c r="AZ61" i="1"/>
  <c r="AY61" i="1"/>
  <c r="AV61" i="1"/>
  <c r="AU61" i="1"/>
  <c r="AT61" i="1"/>
  <c r="AS61" i="1"/>
  <c r="AR61" i="1"/>
  <c r="AQ61" i="1"/>
  <c r="AP61" i="1"/>
  <c r="AO61" i="1"/>
  <c r="AN61" i="1"/>
  <c r="BK59" i="1"/>
  <c r="BJ59" i="1"/>
  <c r="BG59" i="1"/>
  <c r="BF59" i="1"/>
  <c r="AZ59" i="1"/>
  <c r="AY59" i="1"/>
  <c r="AV59" i="1"/>
  <c r="AU59" i="1"/>
  <c r="AT59" i="1"/>
  <c r="AS59" i="1"/>
  <c r="AR59" i="1"/>
  <c r="AQ59" i="1"/>
  <c r="AP59" i="1"/>
  <c r="AO59" i="1"/>
  <c r="AN59" i="1"/>
  <c r="BG58" i="1"/>
  <c r="BF58" i="1"/>
  <c r="AZ58" i="1"/>
  <c r="AY58" i="1"/>
  <c r="AV58" i="1"/>
  <c r="AU58" i="1"/>
  <c r="AT58" i="1"/>
  <c r="AS58" i="1"/>
  <c r="AR58" i="1"/>
  <c r="AQ58" i="1"/>
  <c r="AP58" i="1"/>
  <c r="AO58" i="1"/>
  <c r="AN58" i="1"/>
  <c r="BK55" i="1"/>
  <c r="BJ55" i="1"/>
  <c r="BG55" i="1"/>
  <c r="BF55" i="1"/>
  <c r="AZ55" i="1"/>
  <c r="AY55" i="1"/>
  <c r="AV55" i="1"/>
  <c r="AU55" i="1"/>
  <c r="AT55" i="1"/>
  <c r="AS55" i="1"/>
  <c r="AR55" i="1"/>
  <c r="AQ55" i="1"/>
  <c r="AP55" i="1"/>
  <c r="AO55" i="1"/>
  <c r="AN55" i="1"/>
  <c r="BJ54" i="1"/>
  <c r="BG54" i="1"/>
  <c r="BF54" i="1"/>
  <c r="AZ54" i="1"/>
  <c r="AY54" i="1"/>
  <c r="AV54" i="1"/>
  <c r="AU54" i="1"/>
  <c r="AT54" i="1"/>
  <c r="AS54" i="1"/>
  <c r="AR54" i="1"/>
  <c r="AQ54" i="1"/>
  <c r="AP54" i="1"/>
  <c r="AO54" i="1"/>
  <c r="AN54" i="1"/>
  <c r="BG50" i="1"/>
  <c r="BF50" i="1"/>
  <c r="AZ50" i="1"/>
  <c r="AY50" i="1"/>
  <c r="AV50" i="1"/>
  <c r="AU50" i="1"/>
  <c r="AT50" i="1"/>
  <c r="AS50" i="1"/>
  <c r="AR50" i="1"/>
  <c r="AQ50" i="1"/>
  <c r="AP50" i="1"/>
  <c r="AO50" i="1"/>
  <c r="AN50" i="1"/>
  <c r="BG46" i="1"/>
  <c r="BF46" i="1"/>
  <c r="AZ46" i="1"/>
  <c r="AY46" i="1"/>
  <c r="AV46" i="1"/>
  <c r="AU46" i="1"/>
  <c r="AT46" i="1"/>
  <c r="AS46" i="1"/>
  <c r="AR46" i="1"/>
  <c r="AQ46" i="1"/>
  <c r="AP46" i="1"/>
  <c r="AO46" i="1"/>
  <c r="AN46" i="1"/>
  <c r="BF45" i="1"/>
  <c r="AZ45" i="1"/>
  <c r="AY45" i="1"/>
  <c r="AV45" i="1"/>
  <c r="AU45" i="1"/>
  <c r="AT45" i="1"/>
  <c r="AS45" i="1"/>
  <c r="AR45" i="1"/>
  <c r="AQ45" i="1"/>
  <c r="AP45" i="1"/>
  <c r="AO45" i="1"/>
  <c r="AN45" i="1"/>
  <c r="BK44" i="1"/>
  <c r="BG44" i="1"/>
  <c r="BF44" i="1"/>
  <c r="AZ44" i="1"/>
  <c r="AY44" i="1"/>
  <c r="AV44" i="1"/>
  <c r="AU44" i="1"/>
  <c r="AT44" i="1"/>
  <c r="AS44" i="1"/>
  <c r="AR44" i="1"/>
  <c r="AQ44" i="1"/>
  <c r="AP44" i="1"/>
  <c r="AO44" i="1"/>
  <c r="AN44" i="1"/>
  <c r="BK43" i="1"/>
  <c r="BG43" i="1"/>
  <c r="BF43" i="1"/>
  <c r="AZ43" i="1"/>
  <c r="AY43" i="1"/>
  <c r="AV43" i="1"/>
  <c r="AU43" i="1"/>
  <c r="AT43" i="1"/>
  <c r="AS43" i="1"/>
  <c r="AR43" i="1"/>
  <c r="AQ43" i="1"/>
  <c r="AP43" i="1"/>
  <c r="AO43" i="1"/>
  <c r="AN43" i="1"/>
  <c r="BG42" i="1"/>
  <c r="AV42" i="1"/>
  <c r="AU42" i="1"/>
  <c r="AT42" i="1"/>
  <c r="AS42" i="1"/>
  <c r="AR42" i="1"/>
  <c r="AQ42" i="1"/>
  <c r="AP42" i="1"/>
  <c r="AO42" i="1"/>
  <c r="AN42" i="1"/>
  <c r="BG41" i="1"/>
  <c r="AV41" i="1"/>
  <c r="AU41" i="1"/>
  <c r="AT41" i="1"/>
  <c r="AS41" i="1"/>
  <c r="AR41" i="1"/>
  <c r="AQ41" i="1"/>
  <c r="AP41" i="1"/>
  <c r="AO41" i="1"/>
  <c r="AN41" i="1"/>
  <c r="BG39" i="1"/>
  <c r="BF39" i="1"/>
  <c r="AZ39" i="1"/>
  <c r="AY39" i="1"/>
  <c r="AV39" i="1"/>
  <c r="AU39" i="1"/>
  <c r="AT39" i="1"/>
  <c r="AS39" i="1"/>
  <c r="AR39" i="1"/>
  <c r="AQ39" i="1"/>
  <c r="AP39" i="1"/>
  <c r="AO39" i="1"/>
  <c r="AN39" i="1"/>
  <c r="BK38" i="1"/>
  <c r="BJ38" i="1"/>
  <c r="BG38" i="1"/>
  <c r="BF38" i="1"/>
  <c r="AZ38" i="1"/>
  <c r="AY38" i="1"/>
  <c r="AV38" i="1"/>
  <c r="AU38" i="1"/>
  <c r="AT38" i="1"/>
  <c r="AS38" i="1"/>
  <c r="AR38" i="1"/>
  <c r="AQ38" i="1"/>
  <c r="AP38" i="1"/>
  <c r="AO38" i="1"/>
  <c r="AN38" i="1"/>
  <c r="BK37" i="1"/>
  <c r="BG37" i="1"/>
  <c r="BF37" i="1"/>
  <c r="AZ37" i="1"/>
  <c r="AY37" i="1"/>
  <c r="AV37" i="1"/>
  <c r="AU37" i="1"/>
  <c r="AT37" i="1"/>
  <c r="AS37" i="1"/>
  <c r="AR37" i="1"/>
  <c r="AQ37" i="1"/>
  <c r="AP37" i="1"/>
  <c r="AO37" i="1"/>
  <c r="AN37" i="1"/>
  <c r="BK36" i="1"/>
  <c r="BJ36" i="1"/>
  <c r="BG36" i="1"/>
  <c r="BF36" i="1"/>
  <c r="AZ36" i="1"/>
  <c r="AY36" i="1"/>
  <c r="AV36" i="1"/>
  <c r="AU36" i="1"/>
  <c r="AT36" i="1"/>
  <c r="AS36" i="1"/>
  <c r="AR36" i="1"/>
  <c r="AQ36" i="1"/>
  <c r="AP36" i="1"/>
  <c r="AO36" i="1"/>
  <c r="AN36" i="1"/>
  <c r="BG35" i="1"/>
  <c r="AV35" i="1"/>
  <c r="AU35" i="1"/>
  <c r="AT35" i="1"/>
  <c r="AS35" i="1"/>
  <c r="AR35" i="1"/>
  <c r="AQ35" i="1"/>
  <c r="AP35" i="1"/>
  <c r="AO35" i="1"/>
  <c r="AN35" i="1"/>
  <c r="BK34" i="1"/>
  <c r="BJ34" i="1"/>
  <c r="BG34" i="1"/>
  <c r="BF34" i="1"/>
  <c r="AZ34" i="1"/>
  <c r="AY34" i="1"/>
  <c r="AV34" i="1"/>
  <c r="AU34" i="1"/>
  <c r="AT34" i="1"/>
  <c r="AS34" i="1"/>
  <c r="AR34" i="1"/>
  <c r="AQ34" i="1"/>
  <c r="AP34" i="1"/>
  <c r="AO34" i="1"/>
  <c r="AN34" i="1"/>
  <c r="BK33" i="1"/>
  <c r="BG33" i="1"/>
  <c r="BF33" i="1"/>
  <c r="AZ33" i="1"/>
  <c r="AY33" i="1"/>
  <c r="AV33" i="1"/>
  <c r="AU33" i="1"/>
  <c r="AT33" i="1"/>
  <c r="AS33" i="1"/>
  <c r="AR33" i="1"/>
  <c r="AQ33" i="1"/>
  <c r="AP33" i="1"/>
  <c r="AO33" i="1"/>
  <c r="AN33" i="1"/>
  <c r="BK32" i="1"/>
  <c r="BJ32" i="1"/>
  <c r="BG32" i="1"/>
  <c r="BF32" i="1"/>
  <c r="AZ32" i="1"/>
  <c r="AY32" i="1"/>
  <c r="AV32" i="1"/>
  <c r="AU32" i="1"/>
  <c r="AT32" i="1"/>
  <c r="AS32" i="1"/>
  <c r="AR32" i="1"/>
  <c r="AQ32" i="1"/>
  <c r="AP32" i="1"/>
  <c r="AO32" i="1"/>
  <c r="AN32" i="1"/>
  <c r="BG31" i="1"/>
  <c r="AV31" i="1"/>
  <c r="AU31" i="1"/>
  <c r="AT31" i="1"/>
  <c r="AS31" i="1"/>
  <c r="AR31" i="1"/>
  <c r="AQ31" i="1"/>
  <c r="AP31" i="1"/>
  <c r="AO31" i="1"/>
  <c r="AN31" i="1"/>
  <c r="BK30" i="1"/>
  <c r="BJ30" i="1"/>
  <c r="BG30" i="1"/>
  <c r="BF30" i="1"/>
  <c r="AZ30" i="1"/>
  <c r="AY30" i="1"/>
  <c r="AV30" i="1"/>
  <c r="AU30" i="1"/>
  <c r="AT30" i="1"/>
  <c r="AS30" i="1"/>
  <c r="AR30" i="1"/>
  <c r="AQ30" i="1"/>
  <c r="AP30" i="1"/>
  <c r="AO30" i="1"/>
  <c r="AN30" i="1"/>
  <c r="BK28" i="1"/>
  <c r="BG28" i="1"/>
  <c r="BF28" i="1"/>
  <c r="AZ28" i="1"/>
  <c r="AY28" i="1"/>
  <c r="AV28" i="1"/>
  <c r="AU28" i="1"/>
  <c r="AT28" i="1"/>
  <c r="AS28" i="1"/>
  <c r="AR28" i="1"/>
  <c r="AQ28" i="1"/>
  <c r="AP28" i="1"/>
  <c r="AO28" i="1"/>
  <c r="AN28" i="1"/>
  <c r="BK27" i="1"/>
  <c r="BG27" i="1"/>
  <c r="BF27" i="1"/>
  <c r="AZ27" i="1"/>
  <c r="AY27" i="1"/>
  <c r="AV27" i="1"/>
  <c r="AU27" i="1"/>
  <c r="AT27" i="1"/>
  <c r="AS27" i="1"/>
  <c r="AR27" i="1"/>
  <c r="AQ27" i="1"/>
  <c r="AP27" i="1"/>
  <c r="AO27" i="1"/>
  <c r="AN27" i="1"/>
  <c r="BK26" i="1"/>
  <c r="BJ26" i="1"/>
  <c r="BG26" i="1"/>
  <c r="BF26" i="1"/>
  <c r="AZ26" i="1"/>
  <c r="AY26" i="1"/>
  <c r="AV26" i="1"/>
  <c r="AU26" i="1"/>
  <c r="AT26" i="1"/>
  <c r="AS26" i="1"/>
  <c r="AR26" i="1"/>
  <c r="AQ26" i="1"/>
  <c r="AP26" i="1"/>
  <c r="AO26" i="1"/>
  <c r="AN26" i="1"/>
  <c r="BK25" i="1"/>
  <c r="BG25" i="1"/>
  <c r="BF25" i="1"/>
  <c r="AZ25" i="1"/>
  <c r="AY25" i="1"/>
  <c r="AV25" i="1"/>
  <c r="AU25" i="1"/>
  <c r="AT25" i="1"/>
  <c r="AS25" i="1"/>
  <c r="AR25" i="1"/>
  <c r="AQ25" i="1"/>
  <c r="AP25" i="1"/>
  <c r="AO25" i="1"/>
  <c r="AN25" i="1"/>
  <c r="BK24" i="1"/>
  <c r="BJ24" i="1"/>
  <c r="BG24" i="1"/>
  <c r="BF24" i="1"/>
  <c r="AZ24" i="1"/>
  <c r="AY24" i="1"/>
  <c r="AV24" i="1"/>
  <c r="AU24" i="1"/>
  <c r="AT24" i="1"/>
  <c r="AS24" i="1"/>
  <c r="AR24" i="1"/>
  <c r="AQ24" i="1"/>
  <c r="AP24" i="1"/>
  <c r="AO24" i="1"/>
  <c r="AN24" i="1"/>
  <c r="BG23" i="1"/>
  <c r="BF23" i="1"/>
  <c r="AZ23" i="1"/>
  <c r="AY23" i="1"/>
  <c r="AV23" i="1"/>
  <c r="AU23" i="1"/>
  <c r="AT23" i="1"/>
  <c r="AS23" i="1"/>
  <c r="AR23" i="1"/>
  <c r="AQ23" i="1"/>
  <c r="AP23" i="1"/>
  <c r="AO23" i="1"/>
  <c r="AN23" i="1"/>
  <c r="BG22" i="1"/>
  <c r="AV22" i="1"/>
  <c r="AU22" i="1"/>
  <c r="AT22" i="1"/>
  <c r="AS22" i="1"/>
  <c r="AR22" i="1"/>
  <c r="AQ22" i="1"/>
  <c r="AP22" i="1"/>
  <c r="AO22" i="1"/>
  <c r="AN22" i="1"/>
  <c r="BG21" i="1"/>
  <c r="BF21" i="1"/>
  <c r="AZ21" i="1"/>
  <c r="AY21" i="1"/>
  <c r="AV21" i="1"/>
  <c r="AU21" i="1"/>
  <c r="AT21" i="1"/>
  <c r="AS21" i="1"/>
  <c r="AR21" i="1"/>
  <c r="AQ21" i="1"/>
  <c r="AP21" i="1"/>
  <c r="AO21" i="1"/>
  <c r="AN21" i="1"/>
  <c r="BJ20" i="1"/>
  <c r="BG20" i="1"/>
  <c r="BF20" i="1"/>
  <c r="AZ20" i="1"/>
  <c r="AY20" i="1"/>
  <c r="AV20" i="1"/>
  <c r="AU20" i="1"/>
  <c r="AT20" i="1"/>
  <c r="AS20" i="1"/>
  <c r="AR20" i="1"/>
  <c r="AQ20" i="1"/>
  <c r="AP20" i="1"/>
  <c r="AO20" i="1"/>
  <c r="AN20" i="1"/>
  <c r="BK19" i="1"/>
  <c r="BG19" i="1"/>
  <c r="BF19" i="1"/>
  <c r="AZ19" i="1"/>
  <c r="AY19" i="1"/>
  <c r="AV19" i="1"/>
  <c r="AU19" i="1"/>
  <c r="AT19" i="1"/>
  <c r="AS19" i="1"/>
  <c r="AR19" i="1"/>
  <c r="AQ19" i="1"/>
  <c r="AP19" i="1"/>
  <c r="AO19" i="1"/>
  <c r="AN19" i="1"/>
  <c r="BK18" i="1"/>
  <c r="BJ18" i="1"/>
  <c r="BG18" i="1"/>
  <c r="BF18" i="1"/>
  <c r="AZ18" i="1"/>
  <c r="AY18" i="1"/>
  <c r="AV18" i="1"/>
  <c r="AU18" i="1"/>
  <c r="AT18" i="1"/>
  <c r="AS18" i="1"/>
  <c r="AR18" i="1"/>
  <c r="AQ18" i="1"/>
  <c r="AP18" i="1"/>
  <c r="AO18" i="1"/>
  <c r="AN18" i="1"/>
  <c r="BG17" i="1"/>
  <c r="AV17" i="1"/>
  <c r="AU17" i="1"/>
  <c r="AT17" i="1"/>
  <c r="AS17" i="1"/>
  <c r="AR17" i="1"/>
  <c r="AQ17" i="1"/>
  <c r="AP17" i="1"/>
  <c r="AO17" i="1"/>
  <c r="AN17" i="1"/>
  <c r="BK16" i="1"/>
  <c r="BG16" i="1"/>
  <c r="BF16" i="1"/>
  <c r="AZ16" i="1"/>
  <c r="AY16" i="1"/>
  <c r="AV16" i="1"/>
  <c r="AU16" i="1"/>
  <c r="AT16" i="1"/>
  <c r="AS16" i="1"/>
  <c r="AR16" i="1"/>
  <c r="AQ16" i="1"/>
  <c r="AP16" i="1"/>
  <c r="AO16" i="1"/>
  <c r="AN16" i="1"/>
  <c r="BJ15" i="1"/>
  <c r="BG15" i="1"/>
  <c r="BF15" i="1"/>
  <c r="AZ15" i="1"/>
  <c r="AY15" i="1"/>
  <c r="AV15" i="1"/>
  <c r="AU15" i="1"/>
  <c r="AT15" i="1"/>
  <c r="AS15" i="1"/>
  <c r="AR15" i="1"/>
  <c r="AQ15" i="1"/>
  <c r="AP15" i="1"/>
  <c r="AO15" i="1"/>
  <c r="AN15" i="1"/>
  <c r="BK14" i="1"/>
  <c r="BG14" i="1"/>
  <c r="BF14" i="1"/>
  <c r="AZ14" i="1"/>
  <c r="AY14" i="1"/>
  <c r="AV14" i="1"/>
  <c r="AU14" i="1"/>
  <c r="AT14" i="1"/>
  <c r="AS14" i="1"/>
  <c r="AR14" i="1"/>
  <c r="AQ14" i="1"/>
  <c r="AP14" i="1"/>
  <c r="AO14" i="1"/>
  <c r="AN14" i="1"/>
  <c r="BG13" i="1"/>
  <c r="AV13" i="1"/>
  <c r="AU13" i="1"/>
  <c r="AT13" i="1"/>
  <c r="AS13" i="1"/>
  <c r="AR13" i="1"/>
  <c r="AQ13" i="1"/>
  <c r="AP13" i="1"/>
  <c r="AO13" i="1"/>
  <c r="AN13" i="1"/>
  <c r="BK12" i="1"/>
  <c r="BG12" i="1"/>
  <c r="BF12" i="1"/>
  <c r="AZ12" i="1"/>
  <c r="AY12" i="1"/>
  <c r="AV12" i="1"/>
  <c r="AU12" i="1"/>
  <c r="AT12" i="1"/>
  <c r="AS12" i="1"/>
  <c r="AR12" i="1"/>
  <c r="AQ12" i="1"/>
  <c r="AP12" i="1"/>
  <c r="AO12" i="1"/>
  <c r="AN12" i="1"/>
  <c r="BK11" i="1"/>
  <c r="BG11" i="1"/>
  <c r="BF11" i="1"/>
  <c r="AZ11" i="1"/>
  <c r="AY11" i="1"/>
  <c r="AV11" i="1"/>
  <c r="AU11" i="1"/>
  <c r="AT11" i="1"/>
  <c r="AS11" i="1"/>
  <c r="AR11" i="1"/>
  <c r="AQ11" i="1"/>
  <c r="AP11" i="1"/>
  <c r="AO11" i="1"/>
  <c r="AN11" i="1"/>
  <c r="BK10" i="1"/>
  <c r="BJ10" i="1"/>
  <c r="BG10" i="1"/>
  <c r="BF10" i="1"/>
  <c r="AZ10" i="1"/>
  <c r="AY10" i="1"/>
  <c r="AV10" i="1"/>
  <c r="AU10" i="1"/>
  <c r="AT10" i="1"/>
  <c r="AS10" i="1"/>
  <c r="AR10" i="1"/>
  <c r="AQ10" i="1"/>
  <c r="AP10" i="1"/>
  <c r="AO10" i="1"/>
  <c r="AN10" i="1"/>
  <c r="BK9" i="1"/>
  <c r="BG9" i="1"/>
  <c r="BF9" i="1"/>
  <c r="AZ9" i="1"/>
  <c r="AY9" i="1"/>
  <c r="AV9" i="1"/>
  <c r="AU9" i="1"/>
  <c r="AT9" i="1"/>
  <c r="AS9" i="1"/>
  <c r="AR9" i="1"/>
  <c r="AQ9" i="1"/>
  <c r="AP9" i="1"/>
  <c r="AO9" i="1"/>
  <c r="AN9" i="1"/>
  <c r="BJ8" i="1"/>
  <c r="BG8" i="1"/>
  <c r="BF8" i="1"/>
  <c r="AZ8" i="1"/>
  <c r="AY8" i="1"/>
  <c r="AV8" i="1"/>
  <c r="AU8" i="1"/>
  <c r="AT8" i="1"/>
  <c r="AS8" i="1"/>
  <c r="AR8" i="1"/>
  <c r="AQ8" i="1"/>
  <c r="AP8" i="1"/>
  <c r="AO8" i="1"/>
  <c r="AN8" i="1"/>
  <c r="BG7" i="1"/>
  <c r="BF7" i="1"/>
  <c r="AZ7" i="1"/>
  <c r="AY7" i="1"/>
  <c r="AV7" i="1"/>
  <c r="AU7" i="1"/>
  <c r="AT7" i="1"/>
  <c r="AS7" i="1"/>
  <c r="AR7" i="1"/>
  <c r="AQ7" i="1"/>
  <c r="AP7" i="1"/>
  <c r="AO7" i="1"/>
  <c r="AN7" i="1"/>
  <c r="BK6" i="1"/>
  <c r="BJ6" i="1"/>
  <c r="BG6" i="1"/>
  <c r="BF6" i="1"/>
  <c r="AZ6" i="1"/>
  <c r="AY6" i="1"/>
  <c r="AV6" i="1"/>
  <c r="AU6" i="1"/>
  <c r="AT6" i="1"/>
  <c r="AS6" i="1"/>
  <c r="AR6" i="1"/>
  <c r="AQ6" i="1"/>
  <c r="AP6" i="1"/>
  <c r="AO6" i="1"/>
  <c r="AN6" i="1"/>
  <c r="BK5" i="1"/>
  <c r="BJ5" i="1"/>
  <c r="BG5" i="1"/>
  <c r="BF5" i="1"/>
  <c r="AZ5" i="1"/>
  <c r="AY5" i="1"/>
  <c r="AV5" i="1"/>
  <c r="AU5" i="1"/>
  <c r="AT5" i="1"/>
  <c r="AS5" i="1"/>
  <c r="AR5" i="1"/>
  <c r="AQ5" i="1"/>
  <c r="AP5" i="1"/>
  <c r="AO5" i="1"/>
  <c r="AN5" i="1"/>
  <c r="BG4" i="1"/>
  <c r="AV4" i="1"/>
  <c r="AU4" i="1"/>
  <c r="AT4" i="1"/>
  <c r="AS4" i="1"/>
  <c r="AR4" i="1"/>
  <c r="AQ4" i="1"/>
  <c r="AP4" i="1"/>
  <c r="AO4" i="1"/>
  <c r="AN4" i="1"/>
  <c r="BG3" i="1"/>
  <c r="AV3" i="1"/>
  <c r="AU3" i="1"/>
  <c r="AT3" i="1"/>
  <c r="AS3" i="1"/>
  <c r="AR3" i="1"/>
  <c r="AQ3" i="1"/>
  <c r="AP3" i="1"/>
  <c r="AO3" i="1"/>
  <c r="AN3" i="1"/>
  <c r="AM241" i="1"/>
  <c r="AM239" i="1"/>
  <c r="AM237" i="1"/>
  <c r="AM235" i="1"/>
  <c r="AM234" i="1"/>
  <c r="AM233" i="1"/>
  <c r="AM232" i="1"/>
  <c r="AM230" i="1"/>
  <c r="AM229" i="1"/>
  <c r="AM228" i="1"/>
  <c r="AM227" i="1"/>
  <c r="AM225" i="1"/>
  <c r="AM224" i="1"/>
  <c r="AM223" i="1"/>
  <c r="AM221" i="1"/>
  <c r="AM220" i="1"/>
  <c r="AM219" i="1"/>
  <c r="AM218" i="1"/>
  <c r="AM217" i="1"/>
  <c r="AM216" i="1"/>
  <c r="AM215" i="1"/>
  <c r="AM214" i="1"/>
  <c r="AM213" i="1"/>
  <c r="AM212" i="1"/>
  <c r="AM211" i="1"/>
  <c r="AM207" i="1"/>
  <c r="AM206" i="1"/>
  <c r="AM205" i="1"/>
  <c r="AM203" i="1"/>
  <c r="AM202" i="1"/>
  <c r="AM201" i="1"/>
  <c r="AM199" i="1"/>
  <c r="AM198" i="1"/>
  <c r="AM197" i="1"/>
  <c r="AM193" i="1"/>
  <c r="AM192" i="1"/>
  <c r="AM191" i="1"/>
  <c r="AM190" i="1"/>
  <c r="AM189" i="1"/>
  <c r="AM188" i="1"/>
  <c r="AM185" i="1"/>
  <c r="AM184" i="1"/>
  <c r="AM183" i="1"/>
  <c r="AM182" i="1"/>
  <c r="AM181" i="1"/>
  <c r="AM180" i="1"/>
  <c r="AM179" i="1"/>
  <c r="AM178" i="1"/>
  <c r="AM177" i="1"/>
  <c r="AM176" i="1"/>
  <c r="AM175" i="1"/>
  <c r="AM171" i="1"/>
  <c r="AM170" i="1"/>
  <c r="AM169" i="1"/>
  <c r="AM168" i="1"/>
  <c r="AM167" i="1"/>
  <c r="AM166" i="1"/>
  <c r="AM165" i="1"/>
  <c r="AM164" i="1"/>
  <c r="AM161" i="1"/>
  <c r="AM160" i="1"/>
  <c r="AM159" i="1"/>
  <c r="AM158" i="1"/>
  <c r="AM157" i="1"/>
  <c r="AM156" i="1"/>
  <c r="AM155" i="1"/>
  <c r="AM146" i="1"/>
  <c r="AM145" i="1"/>
  <c r="AM144" i="1"/>
  <c r="AM143" i="1"/>
  <c r="AM142" i="1"/>
  <c r="AM141" i="1"/>
  <c r="AM140" i="1"/>
  <c r="AM138" i="1"/>
  <c r="AM137" i="1"/>
  <c r="AM136" i="1"/>
  <c r="AM135" i="1"/>
  <c r="AM134" i="1"/>
  <c r="AM133" i="1"/>
  <c r="AM127" i="1"/>
  <c r="AM126" i="1"/>
  <c r="AM125" i="1"/>
  <c r="AM124" i="1"/>
  <c r="AM121" i="1"/>
  <c r="AM120" i="1"/>
  <c r="AM119" i="1"/>
  <c r="AM118" i="1"/>
  <c r="AM117" i="1"/>
  <c r="AM116" i="1"/>
  <c r="AM115" i="1"/>
  <c r="AM111" i="1"/>
  <c r="AM109" i="1"/>
  <c r="AM103" i="1"/>
  <c r="AM101" i="1"/>
  <c r="AM100" i="1"/>
  <c r="AM99" i="1"/>
  <c r="AM98" i="1"/>
  <c r="AM97" i="1"/>
  <c r="AM96" i="1"/>
  <c r="AM95" i="1"/>
  <c r="AM93" i="1"/>
  <c r="AM92" i="1"/>
  <c r="AM91" i="1"/>
  <c r="AM90" i="1"/>
  <c r="AM89" i="1"/>
  <c r="AM88" i="1"/>
  <c r="AM86" i="1"/>
  <c r="AM85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3" i="1"/>
  <c r="AM62" i="1"/>
  <c r="AM61" i="1"/>
  <c r="AM59" i="1"/>
  <c r="AM58" i="1"/>
  <c r="AM55" i="1"/>
  <c r="AM54" i="1"/>
  <c r="AM50" i="1"/>
  <c r="AM46" i="1"/>
  <c r="AM45" i="1"/>
  <c r="AM44" i="1"/>
  <c r="AM43" i="1"/>
  <c r="AM42" i="1"/>
  <c r="AM41" i="1"/>
  <c r="AM39" i="1"/>
  <c r="AM38" i="1"/>
  <c r="AM37" i="1"/>
  <c r="AM36" i="1"/>
  <c r="AM35" i="1"/>
  <c r="AM34" i="1"/>
  <c r="AM33" i="1"/>
  <c r="AM32" i="1"/>
  <c r="AM31" i="1"/>
  <c r="AM30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241" i="1"/>
  <c r="AL239" i="1"/>
  <c r="AL237" i="1"/>
  <c r="AL235" i="1"/>
  <c r="AL234" i="1"/>
  <c r="AL233" i="1"/>
  <c r="AL232" i="1"/>
  <c r="AL230" i="1"/>
  <c r="AL229" i="1"/>
  <c r="AL228" i="1"/>
  <c r="AL227" i="1"/>
  <c r="AL225" i="1"/>
  <c r="AL224" i="1"/>
  <c r="AL223" i="1"/>
  <c r="AL221" i="1"/>
  <c r="AL220" i="1"/>
  <c r="AL219" i="1"/>
  <c r="AL218" i="1"/>
  <c r="AL217" i="1"/>
  <c r="AL216" i="1"/>
  <c r="AL215" i="1"/>
  <c r="AL214" i="1"/>
  <c r="AL213" i="1"/>
  <c r="AL212" i="1"/>
  <c r="AL211" i="1"/>
  <c r="AL207" i="1"/>
  <c r="AL206" i="1"/>
  <c r="AL205" i="1"/>
  <c r="AL203" i="1"/>
  <c r="AL202" i="1"/>
  <c r="AL201" i="1"/>
  <c r="AL199" i="1"/>
  <c r="AL198" i="1"/>
  <c r="AL197" i="1"/>
  <c r="AL193" i="1"/>
  <c r="AL192" i="1"/>
  <c r="AL191" i="1"/>
  <c r="AL190" i="1"/>
  <c r="AL189" i="1"/>
  <c r="AL188" i="1"/>
  <c r="AL185" i="1"/>
  <c r="AL184" i="1"/>
  <c r="AL183" i="1"/>
  <c r="AL182" i="1"/>
  <c r="AL181" i="1"/>
  <c r="AL180" i="1"/>
  <c r="AL179" i="1"/>
  <c r="AL178" i="1"/>
  <c r="AL177" i="1"/>
  <c r="AL176" i="1"/>
  <c r="AL175" i="1"/>
  <c r="AL171" i="1"/>
  <c r="AL170" i="1"/>
  <c r="AL169" i="1"/>
  <c r="AL168" i="1"/>
  <c r="AL167" i="1"/>
  <c r="AL166" i="1"/>
  <c r="AL165" i="1"/>
  <c r="AL164" i="1"/>
  <c r="AL161" i="1"/>
  <c r="AL160" i="1"/>
  <c r="AL159" i="1"/>
  <c r="AL158" i="1"/>
  <c r="AL157" i="1"/>
  <c r="AL156" i="1"/>
  <c r="AL155" i="1"/>
  <c r="AL146" i="1"/>
  <c r="AL145" i="1"/>
  <c r="AL144" i="1"/>
  <c r="AL143" i="1"/>
  <c r="AL142" i="1"/>
  <c r="AL141" i="1"/>
  <c r="AL140" i="1"/>
  <c r="AL138" i="1"/>
  <c r="AL137" i="1"/>
  <c r="AL136" i="1"/>
  <c r="AL135" i="1"/>
  <c r="AL134" i="1"/>
  <c r="AL133" i="1"/>
  <c r="AL127" i="1"/>
  <c r="AL126" i="1"/>
  <c r="AL125" i="1"/>
  <c r="AL124" i="1"/>
  <c r="AL121" i="1"/>
  <c r="AL120" i="1"/>
  <c r="AL119" i="1"/>
  <c r="AL118" i="1"/>
  <c r="AL117" i="1"/>
  <c r="AL116" i="1"/>
  <c r="AL115" i="1"/>
  <c r="AL111" i="1"/>
  <c r="AL109" i="1"/>
  <c r="AL103" i="1"/>
  <c r="AL101" i="1"/>
  <c r="AL100" i="1"/>
  <c r="AL99" i="1"/>
  <c r="AL98" i="1"/>
  <c r="AL97" i="1"/>
  <c r="AL96" i="1"/>
  <c r="AL95" i="1"/>
  <c r="AL93" i="1"/>
  <c r="AL92" i="1"/>
  <c r="AL91" i="1"/>
  <c r="AL90" i="1"/>
  <c r="AL89" i="1"/>
  <c r="AL88" i="1"/>
  <c r="AL86" i="1"/>
  <c r="AL85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3" i="1"/>
  <c r="AL62" i="1"/>
  <c r="AL61" i="1"/>
  <c r="AL59" i="1"/>
  <c r="AL58" i="1"/>
  <c r="AL55" i="1"/>
  <c r="AL54" i="1"/>
  <c r="AL50" i="1"/>
  <c r="AL46" i="1"/>
  <c r="AL45" i="1"/>
  <c r="AL44" i="1"/>
  <c r="AL43" i="1"/>
  <c r="AL42" i="1"/>
  <c r="AL41" i="1"/>
  <c r="AL39" i="1"/>
  <c r="AL38" i="1"/>
  <c r="AL37" i="1"/>
  <c r="AL36" i="1"/>
  <c r="AL35" i="1"/>
  <c r="AL34" i="1"/>
  <c r="AL33" i="1"/>
  <c r="AL32" i="1"/>
  <c r="AL31" i="1"/>
  <c r="AL30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8" i="1"/>
  <c r="AK41" i="1"/>
  <c r="AK24" i="1"/>
  <c r="AK7" i="1"/>
  <c r="AK241" i="1"/>
  <c r="AK239" i="1"/>
  <c r="AK237" i="1"/>
  <c r="AK235" i="1"/>
  <c r="AK234" i="1"/>
  <c r="AK233" i="1"/>
  <c r="AK232" i="1"/>
  <c r="AK230" i="1"/>
  <c r="AK228" i="1"/>
  <c r="AK227" i="1"/>
  <c r="AK225" i="1"/>
  <c r="AK224" i="1"/>
  <c r="AK223" i="1"/>
  <c r="AK221" i="1"/>
  <c r="AK220" i="1"/>
  <c r="AK219" i="1"/>
  <c r="AK218" i="1"/>
  <c r="AK217" i="1"/>
  <c r="AK216" i="1"/>
  <c r="AK215" i="1"/>
  <c r="AK213" i="1"/>
  <c r="AK212" i="1"/>
  <c r="AK211" i="1"/>
  <c r="AK207" i="1"/>
  <c r="AK205" i="1"/>
  <c r="AK203" i="1"/>
  <c r="AK201" i="1"/>
  <c r="AK199" i="1"/>
  <c r="AK198" i="1"/>
  <c r="AK197" i="1"/>
  <c r="AK193" i="1"/>
  <c r="AK192" i="1"/>
  <c r="AK191" i="1"/>
  <c r="AK190" i="1"/>
  <c r="AK188" i="1"/>
  <c r="AK185" i="1"/>
  <c r="AK184" i="1"/>
  <c r="AK183" i="1"/>
  <c r="AK182" i="1"/>
  <c r="AK181" i="1"/>
  <c r="AK180" i="1"/>
  <c r="AK179" i="1"/>
  <c r="AK177" i="1"/>
  <c r="AK176" i="1"/>
  <c r="AK175" i="1"/>
  <c r="AK171" i="1"/>
  <c r="AK170" i="1"/>
  <c r="AK168" i="1"/>
  <c r="AK167" i="1"/>
  <c r="AK166" i="1"/>
  <c r="AK165" i="1"/>
  <c r="AK164" i="1"/>
  <c r="AK161" i="1"/>
  <c r="AK160" i="1"/>
  <c r="AK157" i="1"/>
  <c r="AK156" i="1"/>
  <c r="AK155" i="1"/>
  <c r="AK146" i="1"/>
  <c r="AK145" i="1"/>
  <c r="AK144" i="1"/>
  <c r="AK143" i="1"/>
  <c r="AK142" i="1"/>
  <c r="AK141" i="1"/>
  <c r="AK140" i="1"/>
  <c r="AK138" i="1"/>
  <c r="AK137" i="1"/>
  <c r="AK136" i="1"/>
  <c r="AK135" i="1"/>
  <c r="AK134" i="1"/>
  <c r="AK133" i="1"/>
  <c r="AK127" i="1"/>
  <c r="AK126" i="1"/>
  <c r="AK124" i="1"/>
  <c r="AK121" i="1"/>
  <c r="AK119" i="1"/>
  <c r="AK118" i="1"/>
  <c r="AK117" i="1"/>
  <c r="AK116" i="1"/>
  <c r="AK115" i="1"/>
  <c r="AK111" i="1"/>
  <c r="AK109" i="1"/>
  <c r="AK103" i="1"/>
  <c r="AK101" i="1"/>
  <c r="AK100" i="1"/>
  <c r="AK99" i="1"/>
  <c r="AK98" i="1"/>
  <c r="AK97" i="1"/>
  <c r="AK95" i="1"/>
  <c r="AK93" i="1"/>
  <c r="AK92" i="1"/>
  <c r="AK91" i="1"/>
  <c r="AK90" i="1"/>
  <c r="AK89" i="1"/>
  <c r="AK88" i="1"/>
  <c r="AK85" i="1"/>
  <c r="AK79" i="1"/>
  <c r="AK77" i="1"/>
  <c r="AK76" i="1"/>
  <c r="AK75" i="1"/>
  <c r="AK73" i="1"/>
  <c r="AK72" i="1"/>
  <c r="AK71" i="1"/>
  <c r="AK70" i="1"/>
  <c r="AK69" i="1"/>
  <c r="AK68" i="1"/>
  <c r="AK63" i="1"/>
  <c r="AK61" i="1"/>
  <c r="AK59" i="1"/>
  <c r="AK58" i="1"/>
  <c r="AK55" i="1"/>
  <c r="AK54" i="1"/>
  <c r="AK50" i="1"/>
  <c r="AK46" i="1"/>
  <c r="AK45" i="1"/>
  <c r="AK44" i="1"/>
  <c r="AK43" i="1"/>
  <c r="AK39" i="1"/>
  <c r="AK38" i="1"/>
  <c r="AK37" i="1"/>
  <c r="AK36" i="1"/>
  <c r="AK34" i="1"/>
  <c r="AK33" i="1"/>
  <c r="AK32" i="1"/>
  <c r="AK30" i="1"/>
  <c r="AK28" i="1"/>
  <c r="AK27" i="1"/>
  <c r="AK26" i="1"/>
  <c r="AK25" i="1"/>
  <c r="AK23" i="1"/>
  <c r="AK21" i="1"/>
  <c r="AK20" i="1"/>
  <c r="AK19" i="1"/>
  <c r="AK18" i="1"/>
  <c r="AK16" i="1"/>
  <c r="AK15" i="1"/>
  <c r="AK14" i="1"/>
  <c r="AK12" i="1"/>
  <c r="AK11" i="1"/>
  <c r="AK10" i="1"/>
  <c r="AK9" i="1"/>
  <c r="AK8" i="1"/>
  <c r="AK6" i="1"/>
  <c r="AK5" i="1"/>
  <c r="AK229" i="1"/>
  <c r="AK214" i="1"/>
  <c r="AK206" i="1"/>
  <c r="AK202" i="1"/>
  <c r="AK189" i="1"/>
  <c r="AK178" i="1"/>
  <c r="AK169" i="1"/>
  <c r="AK159" i="1"/>
  <c r="AK125" i="1"/>
  <c r="AK120" i="1"/>
  <c r="AK96" i="1"/>
  <c r="AK86" i="1"/>
  <c r="AK78" i="1"/>
  <c r="AK74" i="1"/>
  <c r="AK62" i="1"/>
  <c r="AK42" i="1"/>
  <c r="AK35" i="1"/>
  <c r="AK31" i="1"/>
  <c r="AK22" i="1"/>
  <c r="AK17" i="1"/>
  <c r="AK13" i="1"/>
  <c r="AK4" i="1"/>
  <c r="AK3" i="1"/>
  <c r="AJ158" i="1"/>
  <c r="AJ41" i="1"/>
  <c r="AJ36" i="1"/>
  <c r="AJ24" i="1"/>
  <c r="AJ7" i="1"/>
  <c r="AJ241" i="1"/>
  <c r="AJ239" i="1"/>
  <c r="AJ237" i="1"/>
  <c r="AJ235" i="1"/>
  <c r="AJ234" i="1"/>
  <c r="AJ233" i="1"/>
  <c r="AJ232" i="1"/>
  <c r="AJ230" i="1"/>
  <c r="AJ228" i="1"/>
  <c r="AJ227" i="1"/>
  <c r="AJ225" i="1"/>
  <c r="AJ224" i="1"/>
  <c r="AJ223" i="1"/>
  <c r="AJ221" i="1"/>
  <c r="AJ220" i="1"/>
  <c r="AJ219" i="1"/>
  <c r="AJ218" i="1"/>
  <c r="AJ217" i="1"/>
  <c r="AJ216" i="1"/>
  <c r="AJ215" i="1"/>
  <c r="AJ213" i="1"/>
  <c r="AJ212" i="1"/>
  <c r="AJ211" i="1"/>
  <c r="AJ207" i="1"/>
  <c r="AJ205" i="1"/>
  <c r="AJ203" i="1"/>
  <c r="AJ201" i="1"/>
  <c r="AJ199" i="1"/>
  <c r="AJ198" i="1"/>
  <c r="AJ197" i="1"/>
  <c r="AJ193" i="1"/>
  <c r="AJ192" i="1"/>
  <c r="AJ191" i="1"/>
  <c r="AJ190" i="1"/>
  <c r="AJ188" i="1"/>
  <c r="AJ185" i="1"/>
  <c r="AJ184" i="1"/>
  <c r="AJ183" i="1"/>
  <c r="AJ182" i="1"/>
  <c r="AJ181" i="1"/>
  <c r="AJ180" i="1"/>
  <c r="AJ179" i="1"/>
  <c r="AJ177" i="1"/>
  <c r="AJ176" i="1"/>
  <c r="AJ175" i="1"/>
  <c r="AJ171" i="1"/>
  <c r="AJ170" i="1"/>
  <c r="AJ168" i="1"/>
  <c r="AJ167" i="1"/>
  <c r="AJ166" i="1"/>
  <c r="AJ165" i="1"/>
  <c r="AJ164" i="1"/>
  <c r="AJ161" i="1"/>
  <c r="AJ160" i="1"/>
  <c r="AJ157" i="1"/>
  <c r="AJ156" i="1"/>
  <c r="AJ155" i="1"/>
  <c r="AJ146" i="1"/>
  <c r="AJ145" i="1"/>
  <c r="AJ144" i="1"/>
  <c r="AJ143" i="1"/>
  <c r="AJ142" i="1"/>
  <c r="AJ141" i="1"/>
  <c r="AJ140" i="1"/>
  <c r="AJ138" i="1"/>
  <c r="AJ137" i="1"/>
  <c r="AJ136" i="1"/>
  <c r="AJ135" i="1"/>
  <c r="AJ134" i="1"/>
  <c r="AJ133" i="1"/>
  <c r="AJ127" i="1"/>
  <c r="AJ126" i="1"/>
  <c r="AJ124" i="1"/>
  <c r="AJ121" i="1"/>
  <c r="AJ119" i="1"/>
  <c r="AJ118" i="1"/>
  <c r="AJ117" i="1"/>
  <c r="AJ116" i="1"/>
  <c r="AJ115" i="1"/>
  <c r="AJ111" i="1"/>
  <c r="AJ109" i="1"/>
  <c r="AJ103" i="1"/>
  <c r="AJ101" i="1"/>
  <c r="AJ100" i="1"/>
  <c r="AJ99" i="1"/>
  <c r="AJ98" i="1"/>
  <c r="AJ97" i="1"/>
  <c r="AJ95" i="1"/>
  <c r="AJ93" i="1"/>
  <c r="AJ92" i="1"/>
  <c r="AJ91" i="1"/>
  <c r="AJ90" i="1"/>
  <c r="AJ89" i="1"/>
  <c r="AJ88" i="1"/>
  <c r="AJ85" i="1"/>
  <c r="AJ79" i="1"/>
  <c r="AJ77" i="1"/>
  <c r="AJ76" i="1"/>
  <c r="AJ75" i="1"/>
  <c r="AJ73" i="1"/>
  <c r="AJ72" i="1"/>
  <c r="AJ71" i="1"/>
  <c r="AJ70" i="1"/>
  <c r="AJ69" i="1"/>
  <c r="AJ68" i="1"/>
  <c r="AJ63" i="1"/>
  <c r="AJ61" i="1"/>
  <c r="AJ59" i="1"/>
  <c r="AJ58" i="1"/>
  <c r="AJ55" i="1"/>
  <c r="AJ54" i="1"/>
  <c r="AJ50" i="1"/>
  <c r="AJ46" i="1"/>
  <c r="AJ45" i="1"/>
  <c r="AJ44" i="1"/>
  <c r="AJ43" i="1"/>
  <c r="AJ39" i="1"/>
  <c r="AJ38" i="1"/>
  <c r="AJ37" i="1"/>
  <c r="AJ34" i="1"/>
  <c r="AJ33" i="1"/>
  <c r="AJ32" i="1"/>
  <c r="AJ30" i="1"/>
  <c r="AJ28" i="1"/>
  <c r="AJ27" i="1"/>
  <c r="AJ26" i="1"/>
  <c r="AJ25" i="1"/>
  <c r="AJ23" i="1"/>
  <c r="AJ21" i="1"/>
  <c r="AJ20" i="1"/>
  <c r="AJ19" i="1"/>
  <c r="AJ18" i="1"/>
  <c r="AJ16" i="1"/>
  <c r="AJ15" i="1"/>
  <c r="AJ14" i="1"/>
  <c r="AJ12" i="1"/>
  <c r="AJ11" i="1"/>
  <c r="AJ10" i="1"/>
  <c r="AJ9" i="1"/>
  <c r="AJ8" i="1"/>
  <c r="AJ6" i="1"/>
  <c r="AJ5" i="1"/>
  <c r="AJ229" i="1"/>
  <c r="AJ214" i="1"/>
  <c r="AJ206" i="1"/>
  <c r="AJ202" i="1"/>
  <c r="AJ189" i="1"/>
  <c r="AJ178" i="1"/>
  <c r="AJ169" i="1"/>
  <c r="AJ159" i="1"/>
  <c r="AJ125" i="1"/>
  <c r="AJ120" i="1"/>
  <c r="AJ96" i="1"/>
  <c r="AJ86" i="1"/>
  <c r="AJ78" i="1"/>
  <c r="AJ74" i="1"/>
  <c r="AJ62" i="1"/>
  <c r="AJ42" i="1"/>
  <c r="AJ35" i="1"/>
  <c r="AJ31" i="1"/>
  <c r="AJ22" i="1"/>
  <c r="AJ17" i="1"/>
  <c r="AJ13" i="1"/>
  <c r="AJ4" i="1"/>
  <c r="AJ3" i="1"/>
  <c r="AI241" i="1"/>
  <c r="AI239" i="1"/>
  <c r="AI237" i="1"/>
  <c r="AI235" i="1"/>
  <c r="AI234" i="1"/>
  <c r="AI233" i="1"/>
  <c r="AI232" i="1"/>
  <c r="AI230" i="1"/>
  <c r="AI228" i="1"/>
  <c r="AI227" i="1"/>
  <c r="AI225" i="1"/>
  <c r="AI224" i="1"/>
  <c r="AI223" i="1"/>
  <c r="AI221" i="1"/>
  <c r="AI220" i="1"/>
  <c r="AI219" i="1"/>
  <c r="AI218" i="1"/>
  <c r="AI217" i="1"/>
  <c r="AI216" i="1"/>
  <c r="AI215" i="1"/>
  <c r="AI213" i="1"/>
  <c r="AI212" i="1"/>
  <c r="AI211" i="1"/>
  <c r="AI207" i="1"/>
  <c r="AI205" i="1"/>
  <c r="AI203" i="1"/>
  <c r="AI201" i="1"/>
  <c r="AI199" i="1"/>
  <c r="AI198" i="1"/>
  <c r="AI197" i="1"/>
  <c r="AI193" i="1"/>
  <c r="AI192" i="1"/>
  <c r="AI191" i="1"/>
  <c r="AI190" i="1"/>
  <c r="AI188" i="1"/>
  <c r="AI185" i="1"/>
  <c r="AI184" i="1"/>
  <c r="AI183" i="1"/>
  <c r="AI182" i="1"/>
  <c r="AI181" i="1"/>
  <c r="AI180" i="1"/>
  <c r="AI179" i="1"/>
  <c r="AI177" i="1"/>
  <c r="AI176" i="1"/>
  <c r="AI175" i="1"/>
  <c r="AI171" i="1"/>
  <c r="AI170" i="1"/>
  <c r="AI168" i="1"/>
  <c r="AI167" i="1"/>
  <c r="AI166" i="1"/>
  <c r="AI165" i="1"/>
  <c r="AI164" i="1"/>
  <c r="AI161" i="1"/>
  <c r="AI160" i="1"/>
  <c r="AI157" i="1"/>
  <c r="AI156" i="1"/>
  <c r="AI155" i="1"/>
  <c r="AI146" i="1"/>
  <c r="AI145" i="1"/>
  <c r="AI144" i="1"/>
  <c r="AI143" i="1"/>
  <c r="AI142" i="1"/>
  <c r="AI141" i="1"/>
  <c r="AI140" i="1"/>
  <c r="AI138" i="1"/>
  <c r="AI137" i="1"/>
  <c r="AI136" i="1"/>
  <c r="AI135" i="1"/>
  <c r="AI134" i="1"/>
  <c r="AI133" i="1"/>
  <c r="AI127" i="1"/>
  <c r="AI126" i="1"/>
  <c r="AI124" i="1"/>
  <c r="AI121" i="1"/>
  <c r="AI119" i="1"/>
  <c r="AI118" i="1"/>
  <c r="AI117" i="1"/>
  <c r="AI116" i="1"/>
  <c r="AI115" i="1"/>
  <c r="AI111" i="1"/>
  <c r="AI109" i="1"/>
  <c r="AI103" i="1"/>
  <c r="AI101" i="1"/>
  <c r="AI100" i="1"/>
  <c r="AI99" i="1"/>
  <c r="AI98" i="1"/>
  <c r="AI97" i="1"/>
  <c r="AI95" i="1"/>
  <c r="AI93" i="1"/>
  <c r="AI92" i="1"/>
  <c r="AI91" i="1"/>
  <c r="AI90" i="1"/>
  <c r="AI89" i="1"/>
  <c r="AI88" i="1"/>
  <c r="AI85" i="1"/>
  <c r="AI79" i="1"/>
  <c r="AI77" i="1"/>
  <c r="AI76" i="1"/>
  <c r="AI75" i="1"/>
  <c r="AI73" i="1"/>
  <c r="AI72" i="1"/>
  <c r="AI71" i="1"/>
  <c r="AI70" i="1"/>
  <c r="AI69" i="1"/>
  <c r="AI68" i="1"/>
  <c r="AI63" i="1"/>
  <c r="AI61" i="1"/>
  <c r="AI59" i="1"/>
  <c r="AI58" i="1"/>
  <c r="AI55" i="1"/>
  <c r="AI54" i="1"/>
  <c r="AI50" i="1"/>
  <c r="AI46" i="1"/>
  <c r="AI45" i="1"/>
  <c r="AI44" i="1"/>
  <c r="AI43" i="1"/>
  <c r="AI39" i="1"/>
  <c r="AI38" i="1"/>
  <c r="AI37" i="1"/>
  <c r="AI36" i="1"/>
  <c r="AI34" i="1"/>
  <c r="AI33" i="1"/>
  <c r="AI32" i="1"/>
  <c r="AI30" i="1"/>
  <c r="AI28" i="1"/>
  <c r="AI27" i="1"/>
  <c r="AI26" i="1"/>
  <c r="AI25" i="1"/>
  <c r="AI24" i="1"/>
  <c r="AI23" i="1"/>
  <c r="AI21" i="1"/>
  <c r="AI20" i="1"/>
  <c r="AI19" i="1"/>
  <c r="AI18" i="1"/>
  <c r="AI16" i="1"/>
  <c r="AI15" i="1"/>
  <c r="AI14" i="1"/>
  <c r="AI12" i="1"/>
  <c r="AI11" i="1"/>
  <c r="AI10" i="1"/>
  <c r="AI9" i="1"/>
  <c r="AI8" i="1"/>
  <c r="AI7" i="1"/>
  <c r="AI6" i="1"/>
  <c r="AI5" i="1"/>
  <c r="AI229" i="1"/>
  <c r="AI214" i="1"/>
  <c r="AI206" i="1"/>
  <c r="AI202" i="1"/>
  <c r="AI189" i="1"/>
  <c r="AI178" i="1"/>
  <c r="AI169" i="1"/>
  <c r="AI159" i="1"/>
  <c r="AI125" i="1"/>
  <c r="AI120" i="1"/>
  <c r="AI96" i="1"/>
  <c r="AI86" i="1"/>
  <c r="AI78" i="1"/>
  <c r="AI74" i="1"/>
  <c r="AI62" i="1"/>
  <c r="AI42" i="1"/>
  <c r="AI35" i="1"/>
  <c r="AI31" i="1"/>
  <c r="AI22" i="1"/>
  <c r="AI17" i="1"/>
  <c r="AI13" i="1"/>
  <c r="AI4" i="1"/>
  <c r="AI158" i="1"/>
  <c r="AI41" i="1"/>
  <c r="AI3" i="1"/>
  <c r="AH241" i="1"/>
  <c r="AH239" i="1"/>
  <c r="AH237" i="1"/>
  <c r="AH235" i="1"/>
  <c r="AH234" i="1"/>
  <c r="AH233" i="1"/>
  <c r="AH232" i="1"/>
  <c r="AH230" i="1"/>
  <c r="AH228" i="1"/>
  <c r="AH227" i="1"/>
  <c r="AH225" i="1"/>
  <c r="AH224" i="1"/>
  <c r="AH223" i="1"/>
  <c r="AH221" i="1"/>
  <c r="AH220" i="1"/>
  <c r="AH219" i="1"/>
  <c r="AH218" i="1"/>
  <c r="AH217" i="1"/>
  <c r="AH216" i="1"/>
  <c r="AH215" i="1"/>
  <c r="AH213" i="1"/>
  <c r="AH212" i="1"/>
  <c r="AH211" i="1"/>
  <c r="AH207" i="1"/>
  <c r="AH205" i="1"/>
  <c r="AH203" i="1"/>
  <c r="AH201" i="1"/>
  <c r="AH199" i="1"/>
  <c r="AH198" i="1"/>
  <c r="AH197" i="1"/>
  <c r="AH193" i="1"/>
  <c r="AH192" i="1"/>
  <c r="AH191" i="1"/>
  <c r="AH190" i="1"/>
  <c r="AH188" i="1"/>
  <c r="AH185" i="1"/>
  <c r="AH184" i="1"/>
  <c r="AH183" i="1"/>
  <c r="AH182" i="1"/>
  <c r="AH181" i="1"/>
  <c r="AH180" i="1"/>
  <c r="AH179" i="1"/>
  <c r="AH177" i="1"/>
  <c r="AH176" i="1"/>
  <c r="AH175" i="1"/>
  <c r="AH171" i="1"/>
  <c r="AH170" i="1"/>
  <c r="AH168" i="1"/>
  <c r="AH167" i="1"/>
  <c r="AH166" i="1"/>
  <c r="AH165" i="1"/>
  <c r="AH164" i="1"/>
  <c r="AH161" i="1"/>
  <c r="AH160" i="1"/>
  <c r="AH157" i="1"/>
  <c r="AH156" i="1"/>
  <c r="AH155" i="1"/>
  <c r="AH146" i="1"/>
  <c r="AH145" i="1"/>
  <c r="AH144" i="1"/>
  <c r="AH143" i="1"/>
  <c r="AH142" i="1"/>
  <c r="AH141" i="1"/>
  <c r="AH140" i="1"/>
  <c r="AH138" i="1"/>
  <c r="AH137" i="1"/>
  <c r="AH136" i="1"/>
  <c r="AH135" i="1"/>
  <c r="AH134" i="1"/>
  <c r="AH133" i="1"/>
  <c r="AH127" i="1"/>
  <c r="AH126" i="1"/>
  <c r="AH124" i="1"/>
  <c r="AH121" i="1"/>
  <c r="AH119" i="1"/>
  <c r="AH118" i="1"/>
  <c r="AH117" i="1"/>
  <c r="AH116" i="1"/>
  <c r="AH115" i="1"/>
  <c r="AH111" i="1"/>
  <c r="AH109" i="1"/>
  <c r="AH103" i="1"/>
  <c r="AH101" i="1"/>
  <c r="AH100" i="1"/>
  <c r="AH99" i="1"/>
  <c r="AH98" i="1"/>
  <c r="AH97" i="1"/>
  <c r="AH95" i="1"/>
  <c r="AH93" i="1"/>
  <c r="AH92" i="1"/>
  <c r="AH91" i="1"/>
  <c r="AH90" i="1"/>
  <c r="AH89" i="1"/>
  <c r="AH88" i="1"/>
  <c r="AH85" i="1"/>
  <c r="AH79" i="1"/>
  <c r="AH77" i="1"/>
  <c r="AH76" i="1"/>
  <c r="AH75" i="1"/>
  <c r="AH73" i="1"/>
  <c r="AH72" i="1"/>
  <c r="AH71" i="1"/>
  <c r="AH70" i="1"/>
  <c r="AH69" i="1"/>
  <c r="AH68" i="1"/>
  <c r="AH63" i="1"/>
  <c r="AH61" i="1"/>
  <c r="AH59" i="1"/>
  <c r="AH58" i="1"/>
  <c r="AH55" i="1"/>
  <c r="AH54" i="1"/>
  <c r="AH50" i="1"/>
  <c r="AH46" i="1"/>
  <c r="AH45" i="1"/>
  <c r="AH44" i="1"/>
  <c r="AH43" i="1"/>
  <c r="AH39" i="1"/>
  <c r="AH38" i="1"/>
  <c r="AH37" i="1"/>
  <c r="AH36" i="1"/>
  <c r="AH34" i="1"/>
  <c r="AH33" i="1"/>
  <c r="AH32" i="1"/>
  <c r="AH30" i="1"/>
  <c r="AH28" i="1"/>
  <c r="AH27" i="1"/>
  <c r="AH26" i="1"/>
  <c r="AH25" i="1"/>
  <c r="AH24" i="1"/>
  <c r="AH23" i="1"/>
  <c r="AH21" i="1"/>
  <c r="AH20" i="1"/>
  <c r="AH19" i="1"/>
  <c r="AH18" i="1"/>
  <c r="AH16" i="1"/>
  <c r="AH15" i="1"/>
  <c r="AH14" i="1"/>
  <c r="AH12" i="1"/>
  <c r="AH11" i="1"/>
  <c r="AH10" i="1"/>
  <c r="AH9" i="1"/>
  <c r="AH8" i="1"/>
  <c r="AH7" i="1"/>
  <c r="AH6" i="1"/>
  <c r="AH5" i="1"/>
  <c r="AH229" i="1"/>
  <c r="AH214" i="1"/>
  <c r="AH206" i="1"/>
  <c r="AH202" i="1"/>
  <c r="AH189" i="1"/>
  <c r="AH178" i="1"/>
  <c r="AH169" i="1"/>
  <c r="AH159" i="1"/>
  <c r="AH125" i="1"/>
  <c r="AH120" i="1"/>
  <c r="AH96" i="1"/>
  <c r="AH86" i="1"/>
  <c r="AH78" i="1"/>
  <c r="AH74" i="1"/>
  <c r="AH62" i="1"/>
  <c r="AH42" i="1"/>
  <c r="AH35" i="1"/>
  <c r="AH31" i="1"/>
  <c r="AH22" i="1"/>
  <c r="AH17" i="1"/>
  <c r="AH13" i="1"/>
  <c r="AH4" i="1"/>
  <c r="AH158" i="1"/>
  <c r="AH41" i="1"/>
  <c r="AH3" i="1"/>
  <c r="AG158" i="1"/>
  <c r="AG41" i="1"/>
  <c r="AG24" i="1"/>
  <c r="AG241" i="1"/>
  <c r="AG239" i="1"/>
  <c r="AG237" i="1"/>
  <c r="AG235" i="1"/>
  <c r="AG233" i="1"/>
  <c r="AG232" i="1"/>
  <c r="AG230" i="1"/>
  <c r="AG228" i="1"/>
  <c r="AG227" i="1"/>
  <c r="AG225" i="1"/>
  <c r="AG224" i="1"/>
  <c r="AG223" i="1"/>
  <c r="AG221" i="1"/>
  <c r="AG220" i="1"/>
  <c r="AG219" i="1"/>
  <c r="AG218" i="1"/>
  <c r="AG217" i="1"/>
  <c r="AG216" i="1"/>
  <c r="AG215" i="1"/>
  <c r="AG213" i="1"/>
  <c r="AG211" i="1"/>
  <c r="AG207" i="1"/>
  <c r="AG205" i="1"/>
  <c r="AG203" i="1"/>
  <c r="AG201" i="1"/>
  <c r="AG199" i="1"/>
  <c r="AG198" i="1"/>
  <c r="AG197" i="1"/>
  <c r="AG193" i="1"/>
  <c r="AG192" i="1"/>
  <c r="AG191" i="1"/>
  <c r="AG190" i="1"/>
  <c r="AG188" i="1"/>
  <c r="AG185" i="1"/>
  <c r="AG184" i="1"/>
  <c r="AG183" i="1"/>
  <c r="AG182" i="1"/>
  <c r="AG181" i="1"/>
  <c r="AG180" i="1"/>
  <c r="AG179" i="1"/>
  <c r="AG177" i="1"/>
  <c r="AG176" i="1"/>
  <c r="AG175" i="1"/>
  <c r="AG171" i="1"/>
  <c r="AG170" i="1"/>
  <c r="AG168" i="1"/>
  <c r="AG167" i="1"/>
  <c r="AG166" i="1"/>
  <c r="AG165" i="1"/>
  <c r="AG164" i="1"/>
  <c r="AG161" i="1"/>
  <c r="AG160" i="1"/>
  <c r="AG157" i="1"/>
  <c r="AG156" i="1"/>
  <c r="AG146" i="1"/>
  <c r="AG144" i="1"/>
  <c r="AG143" i="1"/>
  <c r="AG141" i="1"/>
  <c r="AG140" i="1"/>
  <c r="AG138" i="1"/>
  <c r="AG137" i="1"/>
  <c r="AG136" i="1"/>
  <c r="AG135" i="1"/>
  <c r="AG134" i="1"/>
  <c r="AG133" i="1"/>
  <c r="AG127" i="1"/>
  <c r="AG126" i="1"/>
  <c r="AG124" i="1"/>
  <c r="AG121" i="1"/>
  <c r="AG119" i="1"/>
  <c r="AG118" i="1"/>
  <c r="AG117" i="1"/>
  <c r="AG116" i="1"/>
  <c r="AG115" i="1"/>
  <c r="AG111" i="1"/>
  <c r="AG109" i="1"/>
  <c r="AG104" i="1"/>
  <c r="AG103" i="1"/>
  <c r="AG101" i="1"/>
  <c r="AG100" i="1"/>
  <c r="AG99" i="1"/>
  <c r="AG98" i="1"/>
  <c r="AG97" i="1"/>
  <c r="AG95" i="1"/>
  <c r="AG93" i="1"/>
  <c r="AG92" i="1"/>
  <c r="AG91" i="1"/>
  <c r="AG90" i="1"/>
  <c r="AG89" i="1"/>
  <c r="AG88" i="1"/>
  <c r="AG85" i="1"/>
  <c r="AG79" i="1"/>
  <c r="AG77" i="1"/>
  <c r="AG76" i="1"/>
  <c r="AG75" i="1"/>
  <c r="AG73" i="1"/>
  <c r="AG72" i="1"/>
  <c r="AG71" i="1"/>
  <c r="AG70" i="1"/>
  <c r="AG69" i="1"/>
  <c r="AG68" i="1"/>
  <c r="AG63" i="1"/>
  <c r="AG61" i="1"/>
  <c r="AG59" i="1"/>
  <c r="AG58" i="1"/>
  <c r="AG55" i="1"/>
  <c r="AG54" i="1"/>
  <c r="AG50" i="1"/>
  <c r="AG46" i="1"/>
  <c r="AG45" i="1"/>
  <c r="AG44" i="1"/>
  <c r="AG43" i="1"/>
  <c r="AG39" i="1"/>
  <c r="AG38" i="1"/>
  <c r="AG37" i="1"/>
  <c r="AG36" i="1"/>
  <c r="AG34" i="1"/>
  <c r="AG33" i="1"/>
  <c r="AG32" i="1"/>
  <c r="AG30" i="1"/>
  <c r="AG28" i="1"/>
  <c r="AG27" i="1"/>
  <c r="AG26" i="1"/>
  <c r="AG25" i="1"/>
  <c r="AG23" i="1"/>
  <c r="AG21" i="1"/>
  <c r="AG20" i="1"/>
  <c r="AG19" i="1"/>
  <c r="AG18" i="1"/>
  <c r="AG16" i="1"/>
  <c r="AG15" i="1"/>
  <c r="AG14" i="1"/>
  <c r="AG12" i="1"/>
  <c r="AG11" i="1"/>
  <c r="AG10" i="1"/>
  <c r="AG9" i="1"/>
  <c r="AG8" i="1"/>
  <c r="AG7" i="1"/>
  <c r="AG6" i="1"/>
  <c r="AG5" i="1"/>
  <c r="AG229" i="1"/>
  <c r="AG214" i="1"/>
  <c r="AG206" i="1"/>
  <c r="AG202" i="1"/>
  <c r="AG189" i="1"/>
  <c r="AG178" i="1"/>
  <c r="AG169" i="1"/>
  <c r="AG159" i="1"/>
  <c r="AG125" i="1"/>
  <c r="AG120" i="1"/>
  <c r="AG96" i="1"/>
  <c r="AG86" i="1"/>
  <c r="AG78" i="1"/>
  <c r="AG74" i="1"/>
  <c r="AG62" i="1"/>
  <c r="AG42" i="1"/>
  <c r="AG35" i="1"/>
  <c r="AG31" i="1"/>
  <c r="AG22" i="1"/>
  <c r="AG17" i="1"/>
  <c r="AG13" i="1"/>
  <c r="AG4" i="1"/>
  <c r="AB158" i="1"/>
  <c r="AE158" i="1"/>
  <c r="AF158" i="1"/>
  <c r="AE41" i="1"/>
  <c r="AF41" i="1"/>
  <c r="AF24" i="1"/>
  <c r="AF241" i="1"/>
  <c r="AF239" i="1"/>
  <c r="AF237" i="1"/>
  <c r="AF235" i="1"/>
  <c r="AF233" i="1"/>
  <c r="AF232" i="1"/>
  <c r="AF230" i="1"/>
  <c r="AF228" i="1"/>
  <c r="AF227" i="1"/>
  <c r="AF225" i="1"/>
  <c r="AF224" i="1"/>
  <c r="AF223" i="1"/>
  <c r="AF221" i="1"/>
  <c r="AF220" i="1"/>
  <c r="AF219" i="1"/>
  <c r="AF218" i="1"/>
  <c r="AF217" i="1"/>
  <c r="AF216" i="1"/>
  <c r="AF215" i="1"/>
  <c r="AF213" i="1"/>
  <c r="AF211" i="1"/>
  <c r="AF207" i="1"/>
  <c r="AF205" i="1"/>
  <c r="AF203" i="1"/>
  <c r="AF201" i="1"/>
  <c r="AF199" i="1"/>
  <c r="AF198" i="1"/>
  <c r="AF197" i="1"/>
  <c r="AF193" i="1"/>
  <c r="AF192" i="1"/>
  <c r="AF191" i="1"/>
  <c r="AF190" i="1"/>
  <c r="AF188" i="1"/>
  <c r="AF185" i="1"/>
  <c r="AF184" i="1"/>
  <c r="AF183" i="1"/>
  <c r="AF182" i="1"/>
  <c r="AF181" i="1"/>
  <c r="AF180" i="1"/>
  <c r="AF179" i="1"/>
  <c r="AF177" i="1"/>
  <c r="AF176" i="1"/>
  <c r="AF175" i="1"/>
  <c r="AF171" i="1"/>
  <c r="AF170" i="1"/>
  <c r="AF168" i="1"/>
  <c r="AF167" i="1"/>
  <c r="AF166" i="1"/>
  <c r="AF165" i="1"/>
  <c r="AF164" i="1"/>
  <c r="AF161" i="1"/>
  <c r="AF160" i="1"/>
  <c r="AF157" i="1"/>
  <c r="AF156" i="1"/>
  <c r="AF146" i="1"/>
  <c r="AF144" i="1"/>
  <c r="AF143" i="1"/>
  <c r="AF141" i="1"/>
  <c r="AF140" i="1"/>
  <c r="AF138" i="1"/>
  <c r="AF137" i="1"/>
  <c r="AF136" i="1"/>
  <c r="AF135" i="1"/>
  <c r="AF134" i="1"/>
  <c r="AF133" i="1"/>
  <c r="AF127" i="1"/>
  <c r="AF126" i="1"/>
  <c r="AF124" i="1"/>
  <c r="AF121" i="1"/>
  <c r="AF119" i="1"/>
  <c r="AF118" i="1"/>
  <c r="AF117" i="1"/>
  <c r="AF116" i="1"/>
  <c r="AF115" i="1"/>
  <c r="AF111" i="1"/>
  <c r="AF109" i="1"/>
  <c r="AF104" i="1"/>
  <c r="AF103" i="1"/>
  <c r="AF101" i="1"/>
  <c r="AF100" i="1"/>
  <c r="AF99" i="1"/>
  <c r="AF98" i="1"/>
  <c r="AF97" i="1"/>
  <c r="AF95" i="1"/>
  <c r="AF93" i="1"/>
  <c r="AF92" i="1"/>
  <c r="AF91" i="1"/>
  <c r="AF90" i="1"/>
  <c r="AF89" i="1"/>
  <c r="AF88" i="1"/>
  <c r="AF85" i="1"/>
  <c r="AF79" i="1"/>
  <c r="AF77" i="1"/>
  <c r="AF76" i="1"/>
  <c r="AF75" i="1"/>
  <c r="AF73" i="1"/>
  <c r="AF72" i="1"/>
  <c r="AF71" i="1"/>
  <c r="AF70" i="1"/>
  <c r="AF69" i="1"/>
  <c r="AF68" i="1"/>
  <c r="AF63" i="1"/>
  <c r="AF61" i="1"/>
  <c r="AF59" i="1"/>
  <c r="AF58" i="1"/>
  <c r="AF55" i="1"/>
  <c r="AF54" i="1"/>
  <c r="AF50" i="1"/>
  <c r="AF46" i="1"/>
  <c r="AF45" i="1"/>
  <c r="AF44" i="1"/>
  <c r="AF43" i="1"/>
  <c r="AF39" i="1"/>
  <c r="AF38" i="1"/>
  <c r="AF37" i="1"/>
  <c r="AF36" i="1"/>
  <c r="AF34" i="1"/>
  <c r="AF33" i="1"/>
  <c r="AF32" i="1"/>
  <c r="AF30" i="1"/>
  <c r="AF28" i="1"/>
  <c r="AF27" i="1"/>
  <c r="AF26" i="1"/>
  <c r="AF25" i="1"/>
  <c r="AF23" i="1"/>
  <c r="AF21" i="1"/>
  <c r="AF20" i="1"/>
  <c r="AF19" i="1"/>
  <c r="AF18" i="1"/>
  <c r="AF16" i="1"/>
  <c r="AF15" i="1"/>
  <c r="AF14" i="1"/>
  <c r="AF12" i="1"/>
  <c r="AF11" i="1"/>
  <c r="AF10" i="1"/>
  <c r="AF9" i="1"/>
  <c r="AF8" i="1"/>
  <c r="AF7" i="1"/>
  <c r="AF6" i="1"/>
  <c r="AF5" i="1"/>
  <c r="AF229" i="1"/>
  <c r="AF214" i="1"/>
  <c r="AF206" i="1"/>
  <c r="AF202" i="1"/>
  <c r="AF189" i="1"/>
  <c r="AF178" i="1"/>
  <c r="AF169" i="1"/>
  <c r="AF159" i="1"/>
  <c r="AF125" i="1"/>
  <c r="AF120" i="1"/>
  <c r="AF96" i="1"/>
  <c r="AF86" i="1"/>
  <c r="AF78" i="1"/>
  <c r="AF74" i="1"/>
  <c r="AF62" i="1"/>
  <c r="AF42" i="1"/>
  <c r="AF35" i="1"/>
  <c r="AF31" i="1"/>
  <c r="AF22" i="1"/>
  <c r="AF17" i="1"/>
  <c r="AF13" i="1"/>
  <c r="AF4" i="1"/>
  <c r="AF3" i="1"/>
  <c r="AE24" i="1"/>
  <c r="AE241" i="1"/>
  <c r="AE239" i="1"/>
  <c r="AE237" i="1"/>
  <c r="AE235" i="1"/>
  <c r="AE233" i="1"/>
  <c r="AE232" i="1"/>
  <c r="AE230" i="1"/>
  <c r="AE228" i="1"/>
  <c r="AE227" i="1"/>
  <c r="AE225" i="1"/>
  <c r="AE224" i="1"/>
  <c r="AE223" i="1"/>
  <c r="AE221" i="1"/>
  <c r="AE220" i="1"/>
  <c r="AE219" i="1"/>
  <c r="AE218" i="1"/>
  <c r="AE217" i="1"/>
  <c r="AE216" i="1"/>
  <c r="AE215" i="1"/>
  <c r="AE213" i="1"/>
  <c r="AE211" i="1"/>
  <c r="AE207" i="1"/>
  <c r="AE205" i="1"/>
  <c r="AE203" i="1"/>
  <c r="AE201" i="1"/>
  <c r="AE199" i="1"/>
  <c r="AE198" i="1"/>
  <c r="AE197" i="1"/>
  <c r="AE193" i="1"/>
  <c r="AE192" i="1"/>
  <c r="AE191" i="1"/>
  <c r="AE190" i="1"/>
  <c r="AE188" i="1"/>
  <c r="AE185" i="1"/>
  <c r="AE184" i="1"/>
  <c r="AE183" i="1"/>
  <c r="AE182" i="1"/>
  <c r="AE181" i="1"/>
  <c r="AE180" i="1"/>
  <c r="AE179" i="1"/>
  <c r="AE177" i="1"/>
  <c r="AE176" i="1"/>
  <c r="AE175" i="1"/>
  <c r="AE171" i="1"/>
  <c r="AE170" i="1"/>
  <c r="AE168" i="1"/>
  <c r="AE167" i="1"/>
  <c r="AE166" i="1"/>
  <c r="AE165" i="1"/>
  <c r="AE164" i="1"/>
  <c r="AE161" i="1"/>
  <c r="AE160" i="1"/>
  <c r="AE157" i="1"/>
  <c r="AE156" i="1"/>
  <c r="AE146" i="1"/>
  <c r="AE144" i="1"/>
  <c r="AE143" i="1"/>
  <c r="AE141" i="1"/>
  <c r="AE140" i="1"/>
  <c r="AE138" i="1"/>
  <c r="AE137" i="1"/>
  <c r="AE136" i="1"/>
  <c r="AE135" i="1"/>
  <c r="AE134" i="1"/>
  <c r="AE133" i="1"/>
  <c r="AE127" i="1"/>
  <c r="AE126" i="1"/>
  <c r="AE124" i="1"/>
  <c r="AE121" i="1"/>
  <c r="AE119" i="1"/>
  <c r="AE118" i="1"/>
  <c r="AE117" i="1"/>
  <c r="AE116" i="1"/>
  <c r="AE115" i="1"/>
  <c r="AE111" i="1"/>
  <c r="AE109" i="1"/>
  <c r="AE104" i="1"/>
  <c r="AE103" i="1"/>
  <c r="AE101" i="1"/>
  <c r="AE100" i="1"/>
  <c r="AE99" i="1"/>
  <c r="AE98" i="1"/>
  <c r="AE97" i="1"/>
  <c r="AE95" i="1"/>
  <c r="AE93" i="1"/>
  <c r="AE92" i="1"/>
  <c r="AE91" i="1"/>
  <c r="AE90" i="1"/>
  <c r="AE89" i="1"/>
  <c r="AE88" i="1"/>
  <c r="AE85" i="1"/>
  <c r="AE79" i="1"/>
  <c r="AE77" i="1"/>
  <c r="AE76" i="1"/>
  <c r="AE75" i="1"/>
  <c r="AE73" i="1"/>
  <c r="AE72" i="1"/>
  <c r="AE71" i="1"/>
  <c r="AE70" i="1"/>
  <c r="AE69" i="1"/>
  <c r="AE68" i="1"/>
  <c r="AE63" i="1"/>
  <c r="AE61" i="1"/>
  <c r="AE59" i="1"/>
  <c r="AE58" i="1"/>
  <c r="AE55" i="1"/>
  <c r="AE54" i="1"/>
  <c r="AE50" i="1"/>
  <c r="AE46" i="1"/>
  <c r="AE45" i="1"/>
  <c r="AE44" i="1"/>
  <c r="AE43" i="1"/>
  <c r="AE39" i="1"/>
  <c r="AE38" i="1"/>
  <c r="AE37" i="1"/>
  <c r="AE36" i="1"/>
  <c r="AE34" i="1"/>
  <c r="AE33" i="1"/>
  <c r="AE32" i="1"/>
  <c r="AE30" i="1"/>
  <c r="AE28" i="1"/>
  <c r="AE27" i="1"/>
  <c r="AE26" i="1"/>
  <c r="AE25" i="1"/>
  <c r="AE23" i="1"/>
  <c r="AE21" i="1"/>
  <c r="AE20" i="1"/>
  <c r="AE19" i="1"/>
  <c r="AE18" i="1"/>
  <c r="AE16" i="1"/>
  <c r="AE15" i="1"/>
  <c r="AE14" i="1"/>
  <c r="AE12" i="1"/>
  <c r="AE11" i="1"/>
  <c r="AE10" i="1"/>
  <c r="AE9" i="1"/>
  <c r="AE8" i="1"/>
  <c r="AE7" i="1"/>
  <c r="AE6" i="1"/>
  <c r="AE5" i="1"/>
  <c r="AE229" i="1"/>
  <c r="AE214" i="1"/>
  <c r="AE206" i="1"/>
  <c r="AE202" i="1"/>
  <c r="AE189" i="1"/>
  <c r="AE178" i="1"/>
  <c r="AE169" i="1"/>
  <c r="AE159" i="1"/>
  <c r="AE125" i="1"/>
  <c r="AE120" i="1"/>
  <c r="AE96" i="1"/>
  <c r="AE86" i="1"/>
  <c r="AE78" i="1"/>
  <c r="AE74" i="1"/>
  <c r="AE62" i="1"/>
  <c r="AE42" i="1"/>
  <c r="AE35" i="1"/>
  <c r="AE31" i="1"/>
  <c r="AE22" i="1"/>
  <c r="AE17" i="1"/>
  <c r="AE13" i="1"/>
  <c r="AE4" i="1"/>
  <c r="AE3" i="1"/>
  <c r="AD241" i="1"/>
  <c r="AD239" i="1"/>
  <c r="AD237" i="1"/>
  <c r="AD235" i="1"/>
  <c r="AD233" i="1"/>
  <c r="AD232" i="1"/>
  <c r="AD230" i="1"/>
  <c r="AD228" i="1"/>
  <c r="AD227" i="1"/>
  <c r="AD225" i="1"/>
  <c r="AD224" i="1"/>
  <c r="AD223" i="1"/>
  <c r="AD221" i="1"/>
  <c r="AD220" i="1"/>
  <c r="AD219" i="1"/>
  <c r="AD218" i="1"/>
  <c r="AD217" i="1"/>
  <c r="AD216" i="1"/>
  <c r="AD215" i="1"/>
  <c r="AD213" i="1"/>
  <c r="AD211" i="1"/>
  <c r="AD207" i="1"/>
  <c r="AD205" i="1"/>
  <c r="AD203" i="1"/>
  <c r="AD201" i="1"/>
  <c r="AD199" i="1"/>
  <c r="AD198" i="1"/>
  <c r="AD197" i="1"/>
  <c r="AD193" i="1"/>
  <c r="AD192" i="1"/>
  <c r="AD191" i="1"/>
  <c r="AD190" i="1"/>
  <c r="AD188" i="1"/>
  <c r="AD185" i="1"/>
  <c r="AD184" i="1"/>
  <c r="AD183" i="1"/>
  <c r="AD182" i="1"/>
  <c r="AD181" i="1"/>
  <c r="AD180" i="1"/>
  <c r="AD179" i="1"/>
  <c r="AD177" i="1"/>
  <c r="AD176" i="1"/>
  <c r="AD175" i="1"/>
  <c r="AD171" i="1"/>
  <c r="AD170" i="1"/>
  <c r="AD168" i="1"/>
  <c r="AD167" i="1"/>
  <c r="AD166" i="1"/>
  <c r="AD165" i="1"/>
  <c r="AD164" i="1"/>
  <c r="AD161" i="1"/>
  <c r="AD160" i="1"/>
  <c r="AD157" i="1"/>
  <c r="AD156" i="1"/>
  <c r="AD146" i="1"/>
  <c r="AD144" i="1"/>
  <c r="AD143" i="1"/>
  <c r="AD141" i="1"/>
  <c r="AD140" i="1"/>
  <c r="AD138" i="1"/>
  <c r="AD137" i="1"/>
  <c r="AD136" i="1"/>
  <c r="AD135" i="1"/>
  <c r="AD134" i="1"/>
  <c r="AD133" i="1"/>
  <c r="AD127" i="1"/>
  <c r="AD126" i="1"/>
  <c r="AD124" i="1"/>
  <c r="AD121" i="1"/>
  <c r="AD119" i="1"/>
  <c r="AD118" i="1"/>
  <c r="AD117" i="1"/>
  <c r="AD116" i="1"/>
  <c r="AD115" i="1"/>
  <c r="AD111" i="1"/>
  <c r="AD109" i="1"/>
  <c r="AD104" i="1"/>
  <c r="AD103" i="1"/>
  <c r="AD101" i="1"/>
  <c r="AD100" i="1"/>
  <c r="AD99" i="1"/>
  <c r="AD98" i="1"/>
  <c r="AD97" i="1"/>
  <c r="AD95" i="1"/>
  <c r="AD93" i="1"/>
  <c r="AD92" i="1"/>
  <c r="AD91" i="1"/>
  <c r="AD90" i="1"/>
  <c r="AD89" i="1"/>
  <c r="AD88" i="1"/>
  <c r="AD85" i="1"/>
  <c r="AD79" i="1"/>
  <c r="AD77" i="1"/>
  <c r="AD76" i="1"/>
  <c r="AD75" i="1"/>
  <c r="AD73" i="1"/>
  <c r="AD72" i="1"/>
  <c r="AD71" i="1"/>
  <c r="AD70" i="1"/>
  <c r="AD69" i="1"/>
  <c r="AD68" i="1"/>
  <c r="AD63" i="1"/>
  <c r="AD61" i="1"/>
  <c r="AD59" i="1"/>
  <c r="AD58" i="1"/>
  <c r="AD55" i="1"/>
  <c r="AD54" i="1"/>
  <c r="AD50" i="1"/>
  <c r="AD46" i="1"/>
  <c r="AD45" i="1"/>
  <c r="AD44" i="1"/>
  <c r="AD43" i="1"/>
  <c r="AD39" i="1"/>
  <c r="AD38" i="1"/>
  <c r="AD37" i="1"/>
  <c r="AD36" i="1"/>
  <c r="AD34" i="1"/>
  <c r="AD33" i="1"/>
  <c r="AD32" i="1"/>
  <c r="AD30" i="1"/>
  <c r="AD28" i="1"/>
  <c r="AD27" i="1"/>
  <c r="AD26" i="1"/>
  <c r="AD25" i="1"/>
  <c r="AD24" i="1"/>
  <c r="AD23" i="1"/>
  <c r="AD21" i="1"/>
  <c r="AD20" i="1"/>
  <c r="AD19" i="1"/>
  <c r="AD18" i="1"/>
  <c r="AD16" i="1"/>
  <c r="AD15" i="1"/>
  <c r="AD14" i="1"/>
  <c r="AD12" i="1"/>
  <c r="AD11" i="1"/>
  <c r="AD10" i="1"/>
  <c r="AD9" i="1"/>
  <c r="AD8" i="1"/>
  <c r="AD7" i="1"/>
  <c r="AD6" i="1"/>
  <c r="AD5" i="1"/>
  <c r="AD229" i="1"/>
  <c r="AD214" i="1"/>
  <c r="AD206" i="1"/>
  <c r="AD202" i="1"/>
  <c r="AD189" i="1"/>
  <c r="AD178" i="1"/>
  <c r="AD169" i="1"/>
  <c r="AD159" i="1"/>
  <c r="AD125" i="1"/>
  <c r="AD120" i="1"/>
  <c r="AD96" i="1"/>
  <c r="AD86" i="1"/>
  <c r="AD78" i="1"/>
  <c r="AD74" i="1"/>
  <c r="AD62" i="1"/>
  <c r="AD42" i="1"/>
  <c r="AD35" i="1"/>
  <c r="AD31" i="1"/>
  <c r="AD22" i="1"/>
  <c r="AD17" i="1"/>
  <c r="AD13" i="1"/>
  <c r="AD4" i="1"/>
  <c r="AD158" i="1"/>
  <c r="AD41" i="1"/>
  <c r="AD3" i="1"/>
  <c r="AG3" i="1"/>
  <c r="AC24" i="1"/>
  <c r="AC158" i="1"/>
  <c r="AC41" i="1"/>
  <c r="AC241" i="1"/>
  <c r="AC239" i="1"/>
  <c r="AC237" i="1"/>
  <c r="AC235" i="1"/>
  <c r="AC233" i="1"/>
  <c r="AC232" i="1"/>
  <c r="AC230" i="1"/>
  <c r="AC228" i="1"/>
  <c r="AC227" i="1"/>
  <c r="AC225" i="1"/>
  <c r="AC224" i="1"/>
  <c r="AC223" i="1"/>
  <c r="AC221" i="1"/>
  <c r="AC220" i="1"/>
  <c r="AC219" i="1"/>
  <c r="AC218" i="1"/>
  <c r="AC217" i="1"/>
  <c r="AC216" i="1"/>
  <c r="AC215" i="1"/>
  <c r="AC213" i="1"/>
  <c r="AC211" i="1"/>
  <c r="AC207" i="1"/>
  <c r="AC205" i="1"/>
  <c r="AC203" i="1"/>
  <c r="AC201" i="1"/>
  <c r="AC199" i="1"/>
  <c r="AC198" i="1"/>
  <c r="AC197" i="1"/>
  <c r="AC193" i="1"/>
  <c r="AC192" i="1"/>
  <c r="AC191" i="1"/>
  <c r="AC190" i="1"/>
  <c r="AC188" i="1"/>
  <c r="AC185" i="1"/>
  <c r="AC184" i="1"/>
  <c r="AC183" i="1"/>
  <c r="AC182" i="1"/>
  <c r="AC181" i="1"/>
  <c r="AC180" i="1"/>
  <c r="AC179" i="1"/>
  <c r="AC177" i="1"/>
  <c r="AC176" i="1"/>
  <c r="AC175" i="1"/>
  <c r="AC171" i="1"/>
  <c r="AC170" i="1"/>
  <c r="AC168" i="1"/>
  <c r="AC167" i="1"/>
  <c r="AC166" i="1"/>
  <c r="AC165" i="1"/>
  <c r="AC164" i="1"/>
  <c r="AC161" i="1"/>
  <c r="AC160" i="1"/>
  <c r="AC157" i="1"/>
  <c r="AC156" i="1"/>
  <c r="AC146" i="1"/>
  <c r="AC144" i="1"/>
  <c r="AC143" i="1"/>
  <c r="AC141" i="1"/>
  <c r="AC140" i="1"/>
  <c r="AC138" i="1"/>
  <c r="AC137" i="1"/>
  <c r="AC136" i="1"/>
  <c r="AC135" i="1"/>
  <c r="AC134" i="1"/>
  <c r="AC133" i="1"/>
  <c r="AC127" i="1"/>
  <c r="AC126" i="1"/>
  <c r="AC124" i="1"/>
  <c r="AC121" i="1"/>
  <c r="AC119" i="1"/>
  <c r="AC118" i="1"/>
  <c r="AC117" i="1"/>
  <c r="AC116" i="1"/>
  <c r="AC115" i="1"/>
  <c r="AC111" i="1"/>
  <c r="AC109" i="1"/>
  <c r="AC104" i="1"/>
  <c r="AC103" i="1"/>
  <c r="AC101" i="1"/>
  <c r="AC100" i="1"/>
  <c r="AC99" i="1"/>
  <c r="AC98" i="1"/>
  <c r="AC97" i="1"/>
  <c r="AC95" i="1"/>
  <c r="AC93" i="1"/>
  <c r="AC92" i="1"/>
  <c r="AC91" i="1"/>
  <c r="AC90" i="1"/>
  <c r="AC89" i="1"/>
  <c r="AC88" i="1"/>
  <c r="AC85" i="1"/>
  <c r="AC79" i="1"/>
  <c r="AC77" i="1"/>
  <c r="AC76" i="1"/>
  <c r="AC75" i="1"/>
  <c r="AC73" i="1"/>
  <c r="AC72" i="1"/>
  <c r="AC71" i="1"/>
  <c r="AC70" i="1"/>
  <c r="AC69" i="1"/>
  <c r="AC68" i="1"/>
  <c r="AC63" i="1"/>
  <c r="AC61" i="1"/>
  <c r="AC59" i="1"/>
  <c r="AC58" i="1"/>
  <c r="AC55" i="1"/>
  <c r="AC54" i="1"/>
  <c r="AC50" i="1"/>
  <c r="AC46" i="1"/>
  <c r="AC45" i="1"/>
  <c r="AC44" i="1"/>
  <c r="AC43" i="1"/>
  <c r="AC39" i="1"/>
  <c r="AC38" i="1"/>
  <c r="AC37" i="1"/>
  <c r="AC36" i="1"/>
  <c r="AC34" i="1"/>
  <c r="AC33" i="1"/>
  <c r="AC32" i="1"/>
  <c r="AC30" i="1"/>
  <c r="AC28" i="1"/>
  <c r="AC27" i="1"/>
  <c r="AC26" i="1"/>
  <c r="AC25" i="1"/>
  <c r="AC23" i="1"/>
  <c r="AC21" i="1"/>
  <c r="AC20" i="1"/>
  <c r="AC19" i="1"/>
  <c r="AC18" i="1"/>
  <c r="AC16" i="1"/>
  <c r="AC15" i="1"/>
  <c r="AC14" i="1"/>
  <c r="AC12" i="1"/>
  <c r="AC11" i="1"/>
  <c r="AC10" i="1"/>
  <c r="AC9" i="1"/>
  <c r="AC8" i="1"/>
  <c r="AC7" i="1"/>
  <c r="AC6" i="1"/>
  <c r="AC5" i="1"/>
  <c r="AC229" i="1"/>
  <c r="AC214" i="1"/>
  <c r="AC206" i="1"/>
  <c r="AC202" i="1"/>
  <c r="AC189" i="1"/>
  <c r="AC178" i="1"/>
  <c r="AC169" i="1"/>
  <c r="AC159" i="1"/>
  <c r="AC125" i="1"/>
  <c r="AC120" i="1"/>
  <c r="AC96" i="1"/>
  <c r="AC86" i="1"/>
  <c r="AC78" i="1"/>
  <c r="AC74" i="1"/>
  <c r="AC62" i="1"/>
  <c r="AC42" i="1"/>
  <c r="AC35" i="1"/>
  <c r="AC31" i="1"/>
  <c r="AC22" i="1"/>
  <c r="AC17" i="1"/>
  <c r="AC13" i="1"/>
  <c r="AC4" i="1"/>
  <c r="Z41" i="1"/>
  <c r="AB41" i="1"/>
  <c r="AB24" i="1"/>
  <c r="AB241" i="1"/>
  <c r="AB239" i="1"/>
  <c r="AB237" i="1"/>
  <c r="AB235" i="1"/>
  <c r="AB233" i="1"/>
  <c r="AB232" i="1"/>
  <c r="AB230" i="1"/>
  <c r="AB228" i="1"/>
  <c r="AB227" i="1"/>
  <c r="AB225" i="1"/>
  <c r="AB224" i="1"/>
  <c r="AB223" i="1"/>
  <c r="AB221" i="1"/>
  <c r="AB220" i="1"/>
  <c r="AB219" i="1"/>
  <c r="AB218" i="1"/>
  <c r="AB217" i="1"/>
  <c r="AB216" i="1"/>
  <c r="AB215" i="1"/>
  <c r="AB213" i="1"/>
  <c r="AB211" i="1"/>
  <c r="AB207" i="1"/>
  <c r="AB205" i="1"/>
  <c r="AB203" i="1"/>
  <c r="AB201" i="1"/>
  <c r="AB199" i="1"/>
  <c r="AB198" i="1"/>
  <c r="AB197" i="1"/>
  <c r="AB193" i="1"/>
  <c r="AB192" i="1"/>
  <c r="AB191" i="1"/>
  <c r="AB190" i="1"/>
  <c r="AB188" i="1"/>
  <c r="AB185" i="1"/>
  <c r="AB184" i="1"/>
  <c r="AB183" i="1"/>
  <c r="AB182" i="1"/>
  <c r="AB181" i="1"/>
  <c r="AB180" i="1"/>
  <c r="AB179" i="1"/>
  <c r="AB177" i="1"/>
  <c r="AB176" i="1"/>
  <c r="AB175" i="1"/>
  <c r="AB171" i="1"/>
  <c r="AB170" i="1"/>
  <c r="AB168" i="1"/>
  <c r="AB167" i="1"/>
  <c r="AB166" i="1"/>
  <c r="AB165" i="1"/>
  <c r="AB164" i="1"/>
  <c r="AB161" i="1"/>
  <c r="AB160" i="1"/>
  <c r="AB157" i="1"/>
  <c r="AB156" i="1"/>
  <c r="AB146" i="1"/>
  <c r="AB144" i="1"/>
  <c r="AB143" i="1"/>
  <c r="AB141" i="1"/>
  <c r="AB140" i="1"/>
  <c r="AB138" i="1"/>
  <c r="AB137" i="1"/>
  <c r="AB136" i="1"/>
  <c r="AB135" i="1"/>
  <c r="AB134" i="1"/>
  <c r="AB133" i="1"/>
  <c r="AB127" i="1"/>
  <c r="AB126" i="1"/>
  <c r="AB124" i="1"/>
  <c r="AB121" i="1"/>
  <c r="AB119" i="1"/>
  <c r="AB118" i="1"/>
  <c r="AB117" i="1"/>
  <c r="AB116" i="1"/>
  <c r="AB115" i="1"/>
  <c r="AB111" i="1"/>
  <c r="AB109" i="1"/>
  <c r="AB104" i="1"/>
  <c r="AB103" i="1"/>
  <c r="AB101" i="1"/>
  <c r="AB100" i="1"/>
  <c r="AB99" i="1"/>
  <c r="AB98" i="1"/>
  <c r="AB97" i="1"/>
  <c r="AB95" i="1"/>
  <c r="AB93" i="1"/>
  <c r="AB92" i="1"/>
  <c r="AB91" i="1"/>
  <c r="AB90" i="1"/>
  <c r="AB89" i="1"/>
  <c r="AB88" i="1"/>
  <c r="AB85" i="1"/>
  <c r="AB79" i="1"/>
  <c r="AB77" i="1"/>
  <c r="AB76" i="1"/>
  <c r="AB75" i="1"/>
  <c r="AB73" i="1"/>
  <c r="AB72" i="1"/>
  <c r="AB71" i="1"/>
  <c r="AB70" i="1"/>
  <c r="AB69" i="1"/>
  <c r="AB68" i="1"/>
  <c r="AB63" i="1"/>
  <c r="AB61" i="1"/>
  <c r="AB59" i="1"/>
  <c r="AB58" i="1"/>
  <c r="AB55" i="1"/>
  <c r="AB54" i="1"/>
  <c r="AB50" i="1"/>
  <c r="AB46" i="1"/>
  <c r="AB45" i="1"/>
  <c r="AB44" i="1"/>
  <c r="AB43" i="1"/>
  <c r="AB39" i="1"/>
  <c r="AB38" i="1"/>
  <c r="AB37" i="1"/>
  <c r="AB36" i="1"/>
  <c r="AB34" i="1"/>
  <c r="AB33" i="1"/>
  <c r="AB32" i="1"/>
  <c r="AB30" i="1"/>
  <c r="AB28" i="1"/>
  <c r="AB27" i="1"/>
  <c r="AB26" i="1"/>
  <c r="AB25" i="1"/>
  <c r="AB23" i="1"/>
  <c r="AB21" i="1"/>
  <c r="AB20" i="1"/>
  <c r="AB19" i="1"/>
  <c r="AB18" i="1"/>
  <c r="AB16" i="1"/>
  <c r="AB15" i="1"/>
  <c r="AB14" i="1"/>
  <c r="AB12" i="1"/>
  <c r="AB11" i="1"/>
  <c r="AB10" i="1"/>
  <c r="AB9" i="1"/>
  <c r="AB8" i="1"/>
  <c r="AB7" i="1"/>
  <c r="AB6" i="1"/>
  <c r="AB5" i="1"/>
  <c r="AB229" i="1"/>
  <c r="AB214" i="1"/>
  <c r="AB206" i="1"/>
  <c r="AB202" i="1"/>
  <c r="AB189" i="1"/>
  <c r="AB178" i="1"/>
  <c r="AB169" i="1"/>
  <c r="AB159" i="1"/>
  <c r="AB125" i="1"/>
  <c r="AB120" i="1"/>
  <c r="AB96" i="1"/>
  <c r="AB86" i="1"/>
  <c r="AB78" i="1"/>
  <c r="AB74" i="1"/>
  <c r="AB62" i="1"/>
  <c r="AB42" i="1"/>
  <c r="AB35" i="1"/>
  <c r="AB31" i="1"/>
  <c r="AB22" i="1"/>
  <c r="AB17" i="1"/>
  <c r="AB13" i="1"/>
  <c r="AB4" i="1"/>
  <c r="AA158" i="1"/>
  <c r="AA41" i="1"/>
  <c r="AA24" i="1"/>
  <c r="AA241" i="1"/>
  <c r="AA239" i="1"/>
  <c r="AA237" i="1"/>
  <c r="AA235" i="1"/>
  <c r="AA233" i="1"/>
  <c r="AA232" i="1"/>
  <c r="AA230" i="1"/>
  <c r="AA228" i="1"/>
  <c r="AA227" i="1"/>
  <c r="AA225" i="1"/>
  <c r="AA224" i="1"/>
  <c r="AA223" i="1"/>
  <c r="AA221" i="1"/>
  <c r="AA220" i="1"/>
  <c r="AA219" i="1"/>
  <c r="AA218" i="1"/>
  <c r="AA217" i="1"/>
  <c r="AA216" i="1"/>
  <c r="AA215" i="1"/>
  <c r="AA213" i="1"/>
  <c r="AA211" i="1"/>
  <c r="AA207" i="1"/>
  <c r="AA205" i="1"/>
  <c r="AA203" i="1"/>
  <c r="AA201" i="1"/>
  <c r="AA199" i="1"/>
  <c r="AA198" i="1"/>
  <c r="AA197" i="1"/>
  <c r="AA193" i="1"/>
  <c r="AA192" i="1"/>
  <c r="AA191" i="1"/>
  <c r="AA190" i="1"/>
  <c r="AA188" i="1"/>
  <c r="AA185" i="1"/>
  <c r="AA184" i="1"/>
  <c r="AA183" i="1"/>
  <c r="AA182" i="1"/>
  <c r="AA181" i="1"/>
  <c r="AA180" i="1"/>
  <c r="AA179" i="1"/>
  <c r="AA177" i="1"/>
  <c r="AA176" i="1"/>
  <c r="AA175" i="1"/>
  <c r="AA171" i="1"/>
  <c r="AA170" i="1"/>
  <c r="AA168" i="1"/>
  <c r="AA167" i="1"/>
  <c r="AA166" i="1"/>
  <c r="AA165" i="1"/>
  <c r="AA164" i="1"/>
  <c r="AA161" i="1"/>
  <c r="AA160" i="1"/>
  <c r="AA157" i="1"/>
  <c r="AA156" i="1"/>
  <c r="AA146" i="1"/>
  <c r="AA144" i="1"/>
  <c r="AA143" i="1"/>
  <c r="AA141" i="1"/>
  <c r="AA140" i="1"/>
  <c r="AA138" i="1"/>
  <c r="AA137" i="1"/>
  <c r="AA136" i="1"/>
  <c r="AA135" i="1"/>
  <c r="AA134" i="1"/>
  <c r="AA133" i="1"/>
  <c r="AA127" i="1"/>
  <c r="AA126" i="1"/>
  <c r="AA124" i="1"/>
  <c r="AA121" i="1"/>
  <c r="AA119" i="1"/>
  <c r="AA118" i="1"/>
  <c r="AA117" i="1"/>
  <c r="AA116" i="1"/>
  <c r="AA115" i="1"/>
  <c r="AA111" i="1"/>
  <c r="AA109" i="1"/>
  <c r="AA104" i="1"/>
  <c r="AA103" i="1"/>
  <c r="AA101" i="1"/>
  <c r="AA100" i="1"/>
  <c r="AA99" i="1"/>
  <c r="AA98" i="1"/>
  <c r="AA97" i="1"/>
  <c r="AA95" i="1"/>
  <c r="AA93" i="1"/>
  <c r="AA92" i="1"/>
  <c r="AA91" i="1"/>
  <c r="AA90" i="1"/>
  <c r="AA89" i="1"/>
  <c r="AA88" i="1"/>
  <c r="AA85" i="1"/>
  <c r="AA79" i="1"/>
  <c r="AA77" i="1"/>
  <c r="AA76" i="1"/>
  <c r="AA75" i="1"/>
  <c r="AA73" i="1"/>
  <c r="AA72" i="1"/>
  <c r="AA71" i="1"/>
  <c r="AA70" i="1"/>
  <c r="AA69" i="1"/>
  <c r="AA68" i="1"/>
  <c r="AA63" i="1"/>
  <c r="AA61" i="1"/>
  <c r="AA59" i="1"/>
  <c r="AA58" i="1"/>
  <c r="AA55" i="1"/>
  <c r="AA54" i="1"/>
  <c r="AA50" i="1"/>
  <c r="AA46" i="1"/>
  <c r="AA45" i="1"/>
  <c r="AA44" i="1"/>
  <c r="AA43" i="1"/>
  <c r="AA39" i="1"/>
  <c r="AA38" i="1"/>
  <c r="AA37" i="1"/>
  <c r="AA36" i="1"/>
  <c r="AA34" i="1"/>
  <c r="AA33" i="1"/>
  <c r="AA32" i="1"/>
  <c r="AA30" i="1"/>
  <c r="AA28" i="1"/>
  <c r="AA27" i="1"/>
  <c r="AA26" i="1"/>
  <c r="AA25" i="1"/>
  <c r="AA23" i="1"/>
  <c r="AA21" i="1"/>
  <c r="AA20" i="1"/>
  <c r="AA19" i="1"/>
  <c r="AA18" i="1"/>
  <c r="AA16" i="1"/>
  <c r="AA15" i="1"/>
  <c r="AA14" i="1"/>
  <c r="AA12" i="1"/>
  <c r="AA11" i="1"/>
  <c r="AA10" i="1"/>
  <c r="AA9" i="1"/>
  <c r="AA8" i="1"/>
  <c r="AA7" i="1"/>
  <c r="AA6" i="1"/>
  <c r="AA5" i="1"/>
  <c r="AA229" i="1"/>
  <c r="AA214" i="1"/>
  <c r="AA206" i="1"/>
  <c r="AA202" i="1"/>
  <c r="AA189" i="1"/>
  <c r="AA178" i="1"/>
  <c r="AA169" i="1"/>
  <c r="AA159" i="1"/>
  <c r="AA125" i="1"/>
  <c r="AA120" i="1"/>
  <c r="AA96" i="1"/>
  <c r="AA86" i="1"/>
  <c r="AA78" i="1"/>
  <c r="AA74" i="1"/>
  <c r="AA62" i="1"/>
  <c r="AA42" i="1"/>
  <c r="AA35" i="1"/>
  <c r="AA31" i="1"/>
  <c r="AA22" i="1"/>
  <c r="AA17" i="1"/>
  <c r="AA13" i="1"/>
  <c r="AA4" i="1"/>
  <c r="Z158" i="1"/>
  <c r="Z24" i="1"/>
  <c r="Z241" i="1"/>
  <c r="Z239" i="1"/>
  <c r="Z237" i="1"/>
  <c r="Z235" i="1"/>
  <c r="Z233" i="1"/>
  <c r="Z232" i="1"/>
  <c r="Z230" i="1"/>
  <c r="Z228" i="1"/>
  <c r="Z227" i="1"/>
  <c r="Z225" i="1"/>
  <c r="Z224" i="1"/>
  <c r="Z223" i="1"/>
  <c r="Z221" i="1"/>
  <c r="Z220" i="1"/>
  <c r="Z219" i="1"/>
  <c r="Z218" i="1"/>
  <c r="Z217" i="1"/>
  <c r="Z216" i="1"/>
  <c r="Z215" i="1"/>
  <c r="Z213" i="1"/>
  <c r="Z211" i="1"/>
  <c r="Z207" i="1"/>
  <c r="Z205" i="1"/>
  <c r="Z203" i="1"/>
  <c r="Z201" i="1"/>
  <c r="Z199" i="1"/>
  <c r="Z198" i="1"/>
  <c r="Z197" i="1"/>
  <c r="Z193" i="1"/>
  <c r="Z192" i="1"/>
  <c r="Z191" i="1"/>
  <c r="Z190" i="1"/>
  <c r="Z188" i="1"/>
  <c r="Z185" i="1"/>
  <c r="Z184" i="1"/>
  <c r="Z183" i="1"/>
  <c r="Z182" i="1"/>
  <c r="Z181" i="1"/>
  <c r="Z180" i="1"/>
  <c r="Z179" i="1"/>
  <c r="Z177" i="1"/>
  <c r="Z176" i="1"/>
  <c r="Z175" i="1"/>
  <c r="Z171" i="1"/>
  <c r="Z170" i="1"/>
  <c r="Z168" i="1"/>
  <c r="Z167" i="1"/>
  <c r="Z166" i="1"/>
  <c r="Z165" i="1"/>
  <c r="Z164" i="1"/>
  <c r="Z161" i="1"/>
  <c r="Z160" i="1"/>
  <c r="Z157" i="1"/>
  <c r="Z156" i="1"/>
  <c r="Z146" i="1"/>
  <c r="Z144" i="1"/>
  <c r="Z143" i="1"/>
  <c r="Z141" i="1"/>
  <c r="Z140" i="1"/>
  <c r="Z138" i="1"/>
  <c r="Z137" i="1"/>
  <c r="Z136" i="1"/>
  <c r="Z135" i="1"/>
  <c r="Z134" i="1"/>
  <c r="Z133" i="1"/>
  <c r="Z127" i="1"/>
  <c r="Z126" i="1"/>
  <c r="Z124" i="1"/>
  <c r="Z121" i="1"/>
  <c r="Z119" i="1"/>
  <c r="Z118" i="1"/>
  <c r="Z117" i="1"/>
  <c r="Z116" i="1"/>
  <c r="Z115" i="1"/>
  <c r="Z111" i="1"/>
  <c r="Z109" i="1"/>
  <c r="Z104" i="1"/>
  <c r="Z103" i="1"/>
  <c r="Z101" i="1"/>
  <c r="Z100" i="1"/>
  <c r="Z99" i="1"/>
  <c r="Z98" i="1"/>
  <c r="Z97" i="1"/>
  <c r="Z95" i="1"/>
  <c r="Z93" i="1"/>
  <c r="Z92" i="1"/>
  <c r="Z91" i="1"/>
  <c r="Z90" i="1"/>
  <c r="Z89" i="1"/>
  <c r="Z88" i="1"/>
  <c r="Z85" i="1"/>
  <c r="Z79" i="1"/>
  <c r="Z77" i="1"/>
  <c r="Z76" i="1"/>
  <c r="Z75" i="1"/>
  <c r="Z73" i="1"/>
  <c r="Z72" i="1"/>
  <c r="Z71" i="1"/>
  <c r="Z70" i="1"/>
  <c r="Z69" i="1"/>
  <c r="Z68" i="1"/>
  <c r="Z63" i="1"/>
  <c r="Z61" i="1"/>
  <c r="Z59" i="1"/>
  <c r="Z58" i="1"/>
  <c r="Z55" i="1"/>
  <c r="Z54" i="1"/>
  <c r="Z50" i="1"/>
  <c r="Z46" i="1"/>
  <c r="Z45" i="1"/>
  <c r="Z44" i="1"/>
  <c r="Z43" i="1"/>
  <c r="Z39" i="1"/>
  <c r="Z38" i="1"/>
  <c r="Z37" i="1"/>
  <c r="Z36" i="1"/>
  <c r="Z34" i="1"/>
  <c r="Z33" i="1"/>
  <c r="Z32" i="1"/>
  <c r="Z30" i="1"/>
  <c r="Z28" i="1"/>
  <c r="Z27" i="1"/>
  <c r="Z26" i="1"/>
  <c r="Z25" i="1"/>
  <c r="Z23" i="1"/>
  <c r="Z21" i="1"/>
  <c r="Z20" i="1"/>
  <c r="Z19" i="1"/>
  <c r="Z18" i="1"/>
  <c r="Z16" i="1"/>
  <c r="Z15" i="1"/>
  <c r="Z14" i="1"/>
  <c r="Z12" i="1"/>
  <c r="Z11" i="1"/>
  <c r="Z10" i="1"/>
  <c r="Z9" i="1"/>
  <c r="Z8" i="1"/>
  <c r="Z7" i="1"/>
  <c r="Z6" i="1"/>
  <c r="Z5" i="1"/>
  <c r="Z229" i="1"/>
  <c r="Z214" i="1"/>
  <c r="Z206" i="1"/>
  <c r="Z202" i="1"/>
  <c r="Z189" i="1"/>
  <c r="Z178" i="1"/>
  <c r="Z169" i="1"/>
  <c r="Z159" i="1"/>
  <c r="Z125" i="1"/>
  <c r="Z120" i="1"/>
  <c r="Z96" i="1"/>
  <c r="Z86" i="1"/>
  <c r="Z78" i="1"/>
  <c r="Z74" i="1"/>
  <c r="Z62" i="1"/>
  <c r="Z42" i="1"/>
  <c r="Z35" i="1"/>
  <c r="Z31" i="1"/>
  <c r="Z22" i="1"/>
  <c r="Z17" i="1"/>
  <c r="Z13" i="1"/>
  <c r="Z4" i="1"/>
  <c r="Y158" i="1"/>
  <c r="X158" i="1"/>
  <c r="Y41" i="1"/>
  <c r="Y24" i="1"/>
  <c r="Y241" i="1"/>
  <c r="Y239" i="1"/>
  <c r="Y237" i="1"/>
  <c r="Y235" i="1"/>
  <c r="Y233" i="1"/>
  <c r="Y232" i="1"/>
  <c r="Y230" i="1"/>
  <c r="Y228" i="1"/>
  <c r="Y227" i="1"/>
  <c r="Y225" i="1"/>
  <c r="Y224" i="1"/>
  <c r="Y223" i="1"/>
  <c r="Y221" i="1"/>
  <c r="Y220" i="1"/>
  <c r="Y219" i="1"/>
  <c r="Y218" i="1"/>
  <c r="Y217" i="1"/>
  <c r="Y216" i="1"/>
  <c r="Y215" i="1"/>
  <c r="Y213" i="1"/>
  <c r="Y211" i="1"/>
  <c r="Y207" i="1"/>
  <c r="Y205" i="1"/>
  <c r="Y203" i="1"/>
  <c r="Y201" i="1"/>
  <c r="Y199" i="1"/>
  <c r="Y198" i="1"/>
  <c r="Y197" i="1"/>
  <c r="Y193" i="1"/>
  <c r="Y192" i="1"/>
  <c r="Y191" i="1"/>
  <c r="Y190" i="1"/>
  <c r="Y188" i="1"/>
  <c r="Y185" i="1"/>
  <c r="Y184" i="1"/>
  <c r="Y183" i="1"/>
  <c r="Y182" i="1"/>
  <c r="Y181" i="1"/>
  <c r="Y180" i="1"/>
  <c r="Y179" i="1"/>
  <c r="Y177" i="1"/>
  <c r="Y176" i="1"/>
  <c r="Y175" i="1"/>
  <c r="Y171" i="1"/>
  <c r="Y170" i="1"/>
  <c r="Y168" i="1"/>
  <c r="Y167" i="1"/>
  <c r="Y166" i="1"/>
  <c r="Y165" i="1"/>
  <c r="Y164" i="1"/>
  <c r="Y161" i="1"/>
  <c r="Y160" i="1"/>
  <c r="Y157" i="1"/>
  <c r="Y156" i="1"/>
  <c r="Y146" i="1"/>
  <c r="Y144" i="1"/>
  <c r="Y143" i="1"/>
  <c r="Y141" i="1"/>
  <c r="Y140" i="1"/>
  <c r="Y138" i="1"/>
  <c r="Y137" i="1"/>
  <c r="Y136" i="1"/>
  <c r="Y135" i="1"/>
  <c r="Y134" i="1"/>
  <c r="Y133" i="1"/>
  <c r="Y127" i="1"/>
  <c r="Y126" i="1"/>
  <c r="Y124" i="1"/>
  <c r="Y121" i="1"/>
  <c r="Y119" i="1"/>
  <c r="Y118" i="1"/>
  <c r="Y117" i="1"/>
  <c r="Y116" i="1"/>
  <c r="Y115" i="1"/>
  <c r="Y111" i="1"/>
  <c r="Y109" i="1"/>
  <c r="Y104" i="1"/>
  <c r="Y103" i="1"/>
  <c r="Y101" i="1"/>
  <c r="Y100" i="1"/>
  <c r="Y99" i="1"/>
  <c r="Y98" i="1"/>
  <c r="Y97" i="1"/>
  <c r="Y95" i="1"/>
  <c r="Y93" i="1"/>
  <c r="Y92" i="1"/>
  <c r="Y91" i="1"/>
  <c r="Y90" i="1"/>
  <c r="Y89" i="1"/>
  <c r="Y88" i="1"/>
  <c r="Y85" i="1"/>
  <c r="Y79" i="1"/>
  <c r="Y77" i="1"/>
  <c r="Y76" i="1"/>
  <c r="Y75" i="1"/>
  <c r="Y73" i="1"/>
  <c r="Y72" i="1"/>
  <c r="Y71" i="1"/>
  <c r="Y70" i="1"/>
  <c r="Y69" i="1"/>
  <c r="Y68" i="1"/>
  <c r="Y63" i="1"/>
  <c r="Y61" i="1"/>
  <c r="Y59" i="1"/>
  <c r="Y58" i="1"/>
  <c r="Y55" i="1"/>
  <c r="Y54" i="1"/>
  <c r="Y50" i="1"/>
  <c r="Y46" i="1"/>
  <c r="Y45" i="1"/>
  <c r="Y44" i="1"/>
  <c r="Y43" i="1"/>
  <c r="Y39" i="1"/>
  <c r="Y38" i="1"/>
  <c r="Y37" i="1"/>
  <c r="Y36" i="1"/>
  <c r="Y34" i="1"/>
  <c r="Y33" i="1"/>
  <c r="Y32" i="1"/>
  <c r="Y30" i="1"/>
  <c r="Y28" i="1"/>
  <c r="Y27" i="1"/>
  <c r="Y26" i="1"/>
  <c r="Y25" i="1"/>
  <c r="Y23" i="1"/>
  <c r="Y21" i="1"/>
  <c r="Y20" i="1"/>
  <c r="Y19" i="1"/>
  <c r="Y18" i="1"/>
  <c r="Y16" i="1"/>
  <c r="Y15" i="1"/>
  <c r="Y14" i="1"/>
  <c r="Y12" i="1"/>
  <c r="Y11" i="1"/>
  <c r="Y10" i="1"/>
  <c r="Y9" i="1"/>
  <c r="Y8" i="1"/>
  <c r="Y7" i="1"/>
  <c r="Y6" i="1"/>
  <c r="Y5" i="1"/>
  <c r="Y229" i="1"/>
  <c r="Y214" i="1"/>
  <c r="Y206" i="1"/>
  <c r="Y202" i="1"/>
  <c r="Y189" i="1"/>
  <c r="Y178" i="1"/>
  <c r="Y169" i="1"/>
  <c r="Y159" i="1"/>
  <c r="Y125" i="1"/>
  <c r="Y120" i="1"/>
  <c r="Y96" i="1"/>
  <c r="Y86" i="1"/>
  <c r="Y78" i="1"/>
  <c r="Y74" i="1"/>
  <c r="Y62" i="1"/>
  <c r="Y42" i="1"/>
  <c r="Y35" i="1"/>
  <c r="Y31" i="1"/>
  <c r="Y22" i="1"/>
  <c r="Y17" i="1"/>
  <c r="Y13" i="1"/>
  <c r="Y4" i="1"/>
  <c r="X41" i="1"/>
  <c r="X24" i="1"/>
  <c r="X241" i="1"/>
  <c r="X239" i="1"/>
  <c r="X237" i="1"/>
  <c r="X235" i="1"/>
  <c r="X233" i="1"/>
  <c r="X232" i="1"/>
  <c r="X230" i="1"/>
  <c r="X228" i="1"/>
  <c r="X227" i="1"/>
  <c r="X225" i="1"/>
  <c r="X224" i="1"/>
  <c r="X223" i="1"/>
  <c r="X221" i="1"/>
  <c r="X220" i="1"/>
  <c r="X219" i="1"/>
  <c r="X218" i="1"/>
  <c r="X217" i="1"/>
  <c r="X216" i="1"/>
  <c r="X215" i="1"/>
  <c r="X213" i="1"/>
  <c r="X211" i="1"/>
  <c r="X207" i="1"/>
  <c r="X205" i="1"/>
  <c r="X203" i="1"/>
  <c r="X201" i="1"/>
  <c r="X199" i="1"/>
  <c r="X198" i="1"/>
  <c r="X197" i="1"/>
  <c r="X193" i="1"/>
  <c r="X192" i="1"/>
  <c r="X191" i="1"/>
  <c r="X190" i="1"/>
  <c r="X188" i="1"/>
  <c r="X185" i="1"/>
  <c r="X184" i="1"/>
  <c r="X183" i="1"/>
  <c r="X182" i="1"/>
  <c r="X181" i="1"/>
  <c r="X180" i="1"/>
  <c r="X179" i="1"/>
  <c r="X177" i="1"/>
  <c r="X176" i="1"/>
  <c r="X175" i="1"/>
  <c r="X171" i="1"/>
  <c r="X170" i="1"/>
  <c r="X168" i="1"/>
  <c r="X167" i="1"/>
  <c r="X166" i="1"/>
  <c r="X165" i="1"/>
  <c r="X164" i="1"/>
  <c r="X161" i="1"/>
  <c r="X160" i="1"/>
  <c r="X157" i="1"/>
  <c r="X156" i="1"/>
  <c r="X146" i="1"/>
  <c r="X144" i="1"/>
  <c r="X143" i="1"/>
  <c r="X141" i="1"/>
  <c r="X140" i="1"/>
  <c r="X138" i="1"/>
  <c r="X137" i="1"/>
  <c r="X136" i="1"/>
  <c r="X135" i="1"/>
  <c r="X134" i="1"/>
  <c r="X133" i="1"/>
  <c r="X127" i="1"/>
  <c r="X126" i="1"/>
  <c r="X124" i="1"/>
  <c r="X121" i="1"/>
  <c r="X119" i="1"/>
  <c r="X118" i="1"/>
  <c r="X117" i="1"/>
  <c r="X116" i="1"/>
  <c r="X115" i="1"/>
  <c r="X111" i="1"/>
  <c r="X109" i="1"/>
  <c r="X104" i="1"/>
  <c r="X103" i="1"/>
  <c r="X101" i="1"/>
  <c r="X100" i="1"/>
  <c r="X99" i="1"/>
  <c r="X98" i="1"/>
  <c r="X97" i="1"/>
  <c r="X95" i="1"/>
  <c r="X93" i="1"/>
  <c r="X92" i="1"/>
  <c r="X91" i="1"/>
  <c r="X90" i="1"/>
  <c r="X89" i="1"/>
  <c r="X88" i="1"/>
  <c r="X85" i="1"/>
  <c r="X79" i="1"/>
  <c r="X77" i="1"/>
  <c r="X76" i="1"/>
  <c r="X75" i="1"/>
  <c r="X73" i="1"/>
  <c r="X72" i="1"/>
  <c r="X71" i="1"/>
  <c r="X70" i="1"/>
  <c r="X69" i="1"/>
  <c r="X68" i="1"/>
  <c r="X63" i="1"/>
  <c r="X61" i="1"/>
  <c r="X59" i="1"/>
  <c r="X58" i="1"/>
  <c r="X55" i="1"/>
  <c r="X54" i="1"/>
  <c r="X50" i="1"/>
  <c r="X46" i="1"/>
  <c r="X45" i="1"/>
  <c r="X44" i="1"/>
  <c r="X43" i="1"/>
  <c r="X39" i="1"/>
  <c r="X38" i="1"/>
  <c r="X37" i="1"/>
  <c r="X36" i="1"/>
  <c r="X34" i="1"/>
  <c r="X33" i="1"/>
  <c r="X32" i="1"/>
  <c r="X30" i="1"/>
  <c r="X28" i="1"/>
  <c r="X27" i="1"/>
  <c r="X26" i="1"/>
  <c r="X25" i="1"/>
  <c r="X23" i="1"/>
  <c r="X21" i="1"/>
  <c r="X20" i="1"/>
  <c r="X19" i="1"/>
  <c r="X18" i="1"/>
  <c r="X16" i="1"/>
  <c r="X15" i="1"/>
  <c r="X14" i="1"/>
  <c r="X12" i="1"/>
  <c r="X11" i="1"/>
  <c r="X10" i="1"/>
  <c r="X9" i="1"/>
  <c r="X8" i="1"/>
  <c r="X7" i="1"/>
  <c r="X6" i="1"/>
  <c r="X5" i="1"/>
  <c r="X229" i="1"/>
  <c r="X214" i="1"/>
  <c r="X206" i="1"/>
  <c r="X202" i="1"/>
  <c r="X189" i="1"/>
  <c r="X178" i="1"/>
  <c r="X169" i="1"/>
  <c r="X159" i="1"/>
  <c r="X125" i="1"/>
  <c r="X120" i="1"/>
  <c r="X96" i="1"/>
  <c r="X86" i="1"/>
  <c r="X78" i="1"/>
  <c r="X74" i="1"/>
  <c r="X62" i="1"/>
  <c r="X42" i="1"/>
  <c r="X35" i="1"/>
  <c r="X31" i="1"/>
  <c r="X22" i="1"/>
  <c r="X17" i="1"/>
  <c r="X13" i="1"/>
  <c r="X4" i="1"/>
  <c r="W158" i="1"/>
  <c r="U229" i="1"/>
  <c r="U214" i="1"/>
  <c r="U206" i="1"/>
  <c r="U202" i="1"/>
  <c r="U189" i="1"/>
  <c r="U169" i="1"/>
  <c r="U96" i="1"/>
  <c r="U86" i="1"/>
  <c r="U74" i="1"/>
  <c r="U62" i="1"/>
  <c r="U42" i="1"/>
  <c r="U35" i="1"/>
  <c r="U31" i="1"/>
  <c r="U120" i="1"/>
  <c r="U125" i="1"/>
  <c r="W41" i="1"/>
  <c r="W229" i="1"/>
  <c r="W214" i="1"/>
  <c r="W206" i="1"/>
  <c r="W202" i="1"/>
  <c r="W189" i="1"/>
  <c r="W178" i="1"/>
  <c r="W169" i="1"/>
  <c r="W159" i="1"/>
  <c r="W125" i="1"/>
  <c r="W120" i="1"/>
  <c r="W96" i="1"/>
  <c r="W86" i="1"/>
  <c r="W78" i="1"/>
  <c r="W74" i="1"/>
  <c r="W62" i="1"/>
  <c r="W42" i="1"/>
  <c r="W35" i="1"/>
  <c r="W31" i="1"/>
  <c r="W24" i="1"/>
  <c r="W22" i="1"/>
  <c r="W17" i="1"/>
  <c r="W241" i="1"/>
  <c r="W239" i="1"/>
  <c r="W237" i="1"/>
  <c r="W235" i="1"/>
  <c r="W234" i="1"/>
  <c r="W233" i="1"/>
  <c r="W232" i="1"/>
  <c r="W230" i="1"/>
  <c r="W228" i="1"/>
  <c r="W227" i="1"/>
  <c r="W225" i="1"/>
  <c r="W224" i="1"/>
  <c r="W223" i="1"/>
  <c r="W221" i="1"/>
  <c r="W220" i="1"/>
  <c r="W219" i="1"/>
  <c r="W218" i="1"/>
  <c r="W217" i="1"/>
  <c r="W216" i="1"/>
  <c r="W215" i="1"/>
  <c r="W213" i="1"/>
  <c r="W212" i="1"/>
  <c r="W211" i="1"/>
  <c r="W207" i="1"/>
  <c r="W205" i="1"/>
  <c r="W203" i="1"/>
  <c r="W201" i="1"/>
  <c r="W199" i="1"/>
  <c r="W198" i="1"/>
  <c r="W197" i="1"/>
  <c r="W193" i="1"/>
  <c r="W192" i="1"/>
  <c r="W191" i="1"/>
  <c r="W190" i="1"/>
  <c r="W188" i="1"/>
  <c r="W185" i="1"/>
  <c r="W184" i="1"/>
  <c r="W183" i="1"/>
  <c r="W182" i="1"/>
  <c r="W181" i="1"/>
  <c r="W180" i="1"/>
  <c r="W179" i="1"/>
  <c r="W177" i="1"/>
  <c r="W176" i="1"/>
  <c r="W175" i="1"/>
  <c r="W171" i="1"/>
  <c r="W170" i="1"/>
  <c r="W168" i="1"/>
  <c r="W167" i="1"/>
  <c r="W166" i="1"/>
  <c r="W165" i="1"/>
  <c r="W164" i="1"/>
  <c r="W161" i="1"/>
  <c r="W160" i="1"/>
  <c r="W157" i="1"/>
  <c r="W156" i="1"/>
  <c r="W155" i="1"/>
  <c r="W146" i="1"/>
  <c r="W145" i="1"/>
  <c r="W144" i="1"/>
  <c r="W143" i="1"/>
  <c r="W142" i="1"/>
  <c r="W141" i="1"/>
  <c r="W140" i="1"/>
  <c r="W138" i="1"/>
  <c r="W137" i="1"/>
  <c r="W136" i="1"/>
  <c r="W135" i="1"/>
  <c r="W134" i="1"/>
  <c r="W133" i="1"/>
  <c r="W127" i="1"/>
  <c r="W126" i="1"/>
  <c r="W124" i="1"/>
  <c r="W121" i="1"/>
  <c r="W119" i="1"/>
  <c r="W118" i="1"/>
  <c r="W117" i="1"/>
  <c r="W116" i="1"/>
  <c r="W115" i="1"/>
  <c r="W111" i="1"/>
  <c r="W109" i="1"/>
  <c r="W104" i="1"/>
  <c r="W103" i="1"/>
  <c r="W101" i="1"/>
  <c r="W100" i="1"/>
  <c r="W99" i="1"/>
  <c r="W98" i="1"/>
  <c r="W97" i="1"/>
  <c r="W95" i="1"/>
  <c r="W93" i="1"/>
  <c r="W92" i="1"/>
  <c r="W91" i="1"/>
  <c r="W90" i="1"/>
  <c r="W89" i="1"/>
  <c r="W88" i="1"/>
  <c r="W85" i="1"/>
  <c r="W79" i="1"/>
  <c r="W77" i="1"/>
  <c r="W76" i="1"/>
  <c r="W75" i="1"/>
  <c r="W73" i="1"/>
  <c r="W72" i="1"/>
  <c r="W71" i="1"/>
  <c r="W70" i="1"/>
  <c r="W69" i="1"/>
  <c r="W68" i="1"/>
  <c r="W63" i="1"/>
  <c r="W61" i="1"/>
  <c r="W59" i="1"/>
  <c r="W58" i="1"/>
  <c r="W55" i="1"/>
  <c r="W54" i="1"/>
  <c r="W50" i="1"/>
  <c r="W46" i="1"/>
  <c r="W45" i="1"/>
  <c r="W44" i="1"/>
  <c r="W43" i="1"/>
  <c r="W39" i="1"/>
  <c r="W38" i="1"/>
  <c r="W37" i="1"/>
  <c r="W36" i="1"/>
  <c r="W34" i="1"/>
  <c r="W33" i="1"/>
  <c r="W32" i="1"/>
  <c r="W30" i="1"/>
  <c r="W28" i="1"/>
  <c r="W27" i="1"/>
  <c r="W26" i="1"/>
  <c r="W25" i="1"/>
  <c r="W23" i="1"/>
  <c r="W21" i="1"/>
  <c r="W20" i="1"/>
  <c r="W19" i="1"/>
  <c r="W18" i="1"/>
  <c r="W16" i="1"/>
  <c r="W15" i="1"/>
  <c r="W14" i="1"/>
  <c r="W12" i="1"/>
  <c r="W11" i="1"/>
  <c r="W10" i="1"/>
  <c r="W9" i="1"/>
  <c r="W8" i="1"/>
  <c r="W7" i="1"/>
  <c r="W6" i="1"/>
  <c r="W5" i="1"/>
  <c r="W4" i="1"/>
  <c r="V41" i="1"/>
  <c r="V158" i="1"/>
  <c r="V229" i="1"/>
  <c r="V214" i="1"/>
  <c r="V206" i="1"/>
  <c r="V202" i="1"/>
  <c r="V189" i="1"/>
  <c r="V178" i="1"/>
  <c r="V169" i="1"/>
  <c r="V159" i="1"/>
  <c r="V125" i="1"/>
  <c r="V120" i="1"/>
  <c r="V96" i="1"/>
  <c r="V86" i="1"/>
  <c r="V78" i="1"/>
  <c r="V74" i="1"/>
  <c r="V62" i="1"/>
  <c r="V42" i="1"/>
  <c r="V35" i="1"/>
  <c r="V31" i="1"/>
  <c r="U241" i="1"/>
  <c r="U239" i="1"/>
  <c r="U237" i="1"/>
  <c r="U235" i="1"/>
  <c r="U234" i="1"/>
  <c r="U233" i="1"/>
  <c r="U232" i="1"/>
  <c r="U230" i="1"/>
  <c r="U228" i="1"/>
  <c r="U227" i="1"/>
  <c r="U225" i="1"/>
  <c r="U224" i="1"/>
  <c r="U223" i="1"/>
  <c r="U221" i="1"/>
  <c r="U220" i="1"/>
  <c r="U219" i="1"/>
  <c r="U218" i="1"/>
  <c r="U217" i="1"/>
  <c r="U216" i="1"/>
  <c r="U215" i="1"/>
  <c r="U213" i="1"/>
  <c r="U212" i="1"/>
  <c r="U211" i="1"/>
  <c r="U207" i="1"/>
  <c r="U205" i="1"/>
  <c r="U203" i="1"/>
  <c r="U201" i="1"/>
  <c r="U199" i="1"/>
  <c r="U198" i="1"/>
  <c r="U197" i="1"/>
  <c r="U193" i="1"/>
  <c r="U192" i="1"/>
  <c r="U191" i="1"/>
  <c r="U190" i="1"/>
  <c r="U188" i="1"/>
  <c r="U185" i="1"/>
  <c r="U184" i="1"/>
  <c r="U183" i="1"/>
  <c r="U182" i="1"/>
  <c r="U181" i="1"/>
  <c r="U180" i="1"/>
  <c r="U179" i="1"/>
  <c r="U177" i="1"/>
  <c r="U176" i="1"/>
  <c r="U175" i="1"/>
  <c r="U171" i="1"/>
  <c r="U170" i="1"/>
  <c r="U168" i="1"/>
  <c r="U167" i="1"/>
  <c r="U166" i="1"/>
  <c r="U165" i="1"/>
  <c r="U164" i="1"/>
  <c r="U161" i="1"/>
  <c r="U157" i="1"/>
  <c r="U156" i="1"/>
  <c r="U155" i="1"/>
  <c r="U146" i="1"/>
  <c r="U145" i="1"/>
  <c r="U144" i="1"/>
  <c r="U143" i="1"/>
  <c r="U142" i="1"/>
  <c r="U141" i="1"/>
  <c r="U140" i="1"/>
  <c r="U138" i="1"/>
  <c r="U137" i="1"/>
  <c r="U136" i="1"/>
  <c r="U135" i="1"/>
  <c r="U134" i="1"/>
  <c r="U133" i="1"/>
  <c r="U127" i="1"/>
  <c r="U126" i="1"/>
  <c r="U124" i="1"/>
  <c r="U121" i="1"/>
  <c r="U119" i="1"/>
  <c r="U118" i="1"/>
  <c r="U117" i="1"/>
  <c r="U116" i="1"/>
  <c r="U115" i="1"/>
  <c r="U111" i="1"/>
  <c r="U103" i="1"/>
  <c r="U101" i="1"/>
  <c r="U100" i="1"/>
  <c r="U99" i="1"/>
  <c r="U98" i="1"/>
  <c r="U97" i="1"/>
  <c r="U95" i="1"/>
  <c r="U93" i="1"/>
  <c r="U92" i="1"/>
  <c r="U91" i="1"/>
  <c r="U90" i="1"/>
  <c r="U89" i="1"/>
  <c r="U88" i="1"/>
  <c r="U85" i="1"/>
  <c r="U79" i="1"/>
  <c r="U77" i="1"/>
  <c r="U76" i="1"/>
  <c r="U75" i="1"/>
  <c r="U73" i="1"/>
  <c r="U72" i="1"/>
  <c r="U71" i="1"/>
  <c r="U70" i="1"/>
  <c r="U69" i="1"/>
  <c r="U68" i="1"/>
  <c r="U63" i="1"/>
  <c r="U59" i="1"/>
  <c r="U58" i="1"/>
  <c r="U55" i="1"/>
  <c r="U54" i="1"/>
  <c r="U50" i="1"/>
  <c r="U46" i="1"/>
  <c r="U45" i="1"/>
  <c r="U44" i="1"/>
  <c r="U43" i="1"/>
  <c r="U39" i="1"/>
  <c r="U38" i="1"/>
  <c r="U37" i="1"/>
  <c r="U36" i="1"/>
  <c r="U34" i="1"/>
  <c r="U33" i="1"/>
  <c r="U32" i="1"/>
  <c r="U30" i="1"/>
  <c r="U28" i="1"/>
  <c r="V24" i="1"/>
  <c r="V22" i="1"/>
  <c r="V17" i="1"/>
  <c r="V4" i="1"/>
  <c r="V13" i="1"/>
  <c r="W13" i="1"/>
  <c r="V241" i="1"/>
  <c r="V239" i="1"/>
  <c r="V237" i="1"/>
  <c r="V235" i="1"/>
  <c r="V234" i="1"/>
  <c r="V233" i="1"/>
  <c r="V232" i="1"/>
  <c r="V230" i="1"/>
  <c r="V228" i="1"/>
  <c r="V227" i="1"/>
  <c r="V225" i="1"/>
  <c r="V224" i="1"/>
  <c r="V223" i="1"/>
  <c r="V221" i="1"/>
  <c r="V220" i="1"/>
  <c r="V219" i="1"/>
  <c r="V218" i="1"/>
  <c r="V217" i="1"/>
  <c r="V216" i="1"/>
  <c r="V215" i="1"/>
  <c r="V213" i="1"/>
  <c r="V212" i="1"/>
  <c r="V211" i="1"/>
  <c r="V207" i="1"/>
  <c r="V205" i="1"/>
  <c r="V203" i="1"/>
  <c r="V201" i="1"/>
  <c r="V199" i="1"/>
  <c r="V198" i="1"/>
  <c r="V197" i="1"/>
  <c r="V193" i="1"/>
  <c r="V192" i="1"/>
  <c r="V191" i="1"/>
  <c r="V190" i="1"/>
  <c r="V188" i="1"/>
  <c r="V185" i="1"/>
  <c r="V184" i="1"/>
  <c r="V183" i="1"/>
  <c r="V182" i="1"/>
  <c r="V181" i="1"/>
  <c r="V180" i="1"/>
  <c r="V179" i="1"/>
  <c r="V177" i="1"/>
  <c r="V176" i="1"/>
  <c r="V175" i="1"/>
  <c r="V171" i="1"/>
  <c r="V170" i="1"/>
  <c r="V168" i="1"/>
  <c r="V167" i="1"/>
  <c r="V166" i="1"/>
  <c r="V165" i="1"/>
  <c r="V164" i="1"/>
  <c r="V161" i="1"/>
  <c r="V160" i="1"/>
  <c r="V157" i="1"/>
  <c r="V156" i="1"/>
  <c r="V155" i="1"/>
  <c r="V146" i="1"/>
  <c r="V145" i="1"/>
  <c r="V144" i="1"/>
  <c r="V143" i="1"/>
  <c r="V142" i="1"/>
  <c r="V141" i="1"/>
  <c r="V140" i="1"/>
  <c r="V138" i="1"/>
  <c r="V137" i="1"/>
  <c r="V136" i="1"/>
  <c r="V135" i="1"/>
  <c r="V134" i="1"/>
  <c r="V133" i="1"/>
  <c r="V127" i="1"/>
  <c r="V126" i="1"/>
  <c r="V124" i="1"/>
  <c r="V119" i="1"/>
  <c r="V118" i="1"/>
  <c r="V117" i="1"/>
  <c r="V116" i="1"/>
  <c r="V115" i="1"/>
  <c r="V111" i="1"/>
  <c r="V109" i="1"/>
  <c r="V103" i="1"/>
  <c r="V101" i="1"/>
  <c r="V100" i="1"/>
  <c r="V99" i="1"/>
  <c r="V98" i="1"/>
  <c r="V97" i="1"/>
  <c r="V95" i="1"/>
  <c r="V93" i="1"/>
  <c r="V92" i="1"/>
  <c r="V91" i="1"/>
  <c r="V90" i="1"/>
  <c r="V89" i="1"/>
  <c r="V88" i="1"/>
  <c r="V85" i="1"/>
  <c r="V79" i="1"/>
  <c r="V77" i="1"/>
  <c r="V76" i="1"/>
  <c r="V75" i="1"/>
  <c r="V73" i="1"/>
  <c r="V72" i="1"/>
  <c r="V71" i="1"/>
  <c r="V70" i="1"/>
  <c r="V69" i="1"/>
  <c r="V68" i="1"/>
  <c r="V63" i="1"/>
  <c r="V59" i="1"/>
  <c r="V58" i="1"/>
  <c r="V55" i="1"/>
  <c r="V54" i="1"/>
  <c r="V50" i="1"/>
  <c r="V46" i="1"/>
  <c r="V45" i="1"/>
  <c r="V44" i="1"/>
  <c r="V43" i="1"/>
  <c r="V39" i="1"/>
  <c r="V38" i="1"/>
  <c r="V37" i="1"/>
  <c r="V36" i="1"/>
  <c r="V34" i="1"/>
  <c r="V33" i="1"/>
  <c r="V32" i="1"/>
  <c r="V30" i="1"/>
  <c r="V28" i="1"/>
  <c r="V27" i="1"/>
  <c r="V26" i="1"/>
  <c r="V25" i="1"/>
  <c r="V23" i="1"/>
  <c r="V21" i="1"/>
  <c r="V20" i="1"/>
  <c r="V19" i="1"/>
  <c r="V18" i="1"/>
  <c r="V16" i="1"/>
  <c r="V15" i="1"/>
  <c r="V14" i="1"/>
  <c r="V12" i="1"/>
  <c r="V11" i="1"/>
  <c r="V10" i="1"/>
  <c r="V9" i="1"/>
  <c r="V8" i="1"/>
  <c r="V7" i="1"/>
  <c r="V6" i="1"/>
  <c r="V5" i="1"/>
  <c r="U9" i="1"/>
  <c r="W3" i="1"/>
  <c r="V3" i="1"/>
  <c r="AC3" i="1"/>
  <c r="AB3" i="1"/>
  <c r="AA3" i="1"/>
  <c r="Z3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2" i="1"/>
  <c r="U11" i="1"/>
  <c r="Y3" i="1"/>
  <c r="U13" i="1"/>
  <c r="U10" i="1"/>
  <c r="U8" i="1"/>
  <c r="U7" i="1"/>
  <c r="U6" i="1"/>
  <c r="X3" i="1" l="1"/>
  <c r="U160" i="1"/>
  <c r="U159" i="1"/>
  <c r="U158" i="1"/>
  <c r="U4" i="1"/>
  <c r="U5" i="1"/>
  <c r="U41" i="1"/>
  <c r="U3" i="1"/>
  <c r="U242" i="1" l="1"/>
  <c r="P321" i="1" l="1"/>
  <c r="BM200" i="1" l="1"/>
  <c r="AR242" i="1" l="1"/>
  <c r="BN3" i="1"/>
  <c r="BM3" i="1"/>
  <c r="BM86" i="1"/>
  <c r="BM96" i="1"/>
  <c r="BM125" i="1"/>
  <c r="BM158" i="1"/>
  <c r="BM178" i="1"/>
  <c r="BM229" i="1"/>
  <c r="BM74" i="1"/>
  <c r="BM78" i="1"/>
  <c r="BM120" i="1"/>
  <c r="BM4" i="1"/>
  <c r="BM41" i="1"/>
  <c r="BM62" i="1"/>
  <c r="BM139" i="1"/>
  <c r="BM159" i="1"/>
  <c r="BM189" i="1"/>
  <c r="BM13" i="1"/>
  <c r="BM17" i="1"/>
  <c r="BM42" i="1"/>
  <c r="BM110" i="1"/>
  <c r="BM169" i="1"/>
  <c r="BM206" i="1"/>
  <c r="BM22" i="1"/>
  <c r="BM31" i="1"/>
  <c r="BM35" i="1"/>
  <c r="BM202" i="1"/>
  <c r="BM214" i="1"/>
  <c r="AJ242" i="1"/>
  <c r="AN242" i="1"/>
  <c r="Y242" i="1"/>
  <c r="AI242" i="1"/>
  <c r="AL242" i="1"/>
  <c r="AL243" i="1" s="1"/>
  <c r="BQ242" i="1"/>
  <c r="AK242" i="1"/>
  <c r="BM242" i="1"/>
  <c r="AP242" i="1"/>
  <c r="BP3" i="1"/>
  <c r="BQ3" i="1"/>
  <c r="AM242" i="1"/>
  <c r="BR3" i="1"/>
  <c r="BO3" i="1"/>
  <c r="AT242" i="1"/>
  <c r="AO242" i="1"/>
  <c r="Z242" i="1"/>
  <c r="AA242" i="1"/>
  <c r="AQ242" i="1"/>
  <c r="AH242" i="1"/>
  <c r="BF242" i="1"/>
  <c r="AF242" i="1"/>
  <c r="AB242" i="1"/>
  <c r="X242" i="1"/>
  <c r="AY242" i="1"/>
  <c r="AZ242" i="1"/>
  <c r="AW242" i="1"/>
  <c r="BA242" i="1"/>
  <c r="AX242" i="1"/>
  <c r="AC242" i="1" l="1"/>
  <c r="AE242" i="1"/>
  <c r="BB242" i="1"/>
  <c r="BD242" i="1"/>
  <c r="AD242" i="1"/>
  <c r="BE242" i="1"/>
  <c r="AG242" i="1"/>
  <c r="BC242" i="1"/>
  <c r="AS242" i="1" l="1"/>
  <c r="AU242" i="1"/>
  <c r="BN242" i="1"/>
  <c r="BO242" i="1"/>
  <c r="BR242" i="1"/>
  <c r="V242" i="1"/>
  <c r="W242" i="1"/>
  <c r="BG242" i="1"/>
  <c r="BR229" i="1"/>
  <c r="BQ229" i="1"/>
  <c r="BP229" i="1"/>
  <c r="BR214" i="1"/>
  <c r="BQ214" i="1"/>
  <c r="BP214" i="1"/>
  <c r="BR202" i="1"/>
  <c r="BQ202" i="1"/>
  <c r="BQ200" i="1"/>
  <c r="BP158" i="1" l="1"/>
  <c r="BQ41" i="1"/>
  <c r="BP74" i="1"/>
  <c r="BO86" i="1"/>
  <c r="BR120" i="1"/>
  <c r="BR139" i="1"/>
  <c r="BR169" i="1"/>
  <c r="BQ158" i="1"/>
  <c r="BQ206" i="1"/>
  <c r="BQ31" i="1"/>
  <c r="BR41" i="1"/>
  <c r="BP242" i="1"/>
  <c r="BQ13" i="1"/>
  <c r="BN17" i="1"/>
  <c r="BR17" i="1"/>
  <c r="BN22" i="1"/>
  <c r="BR22" i="1"/>
  <c r="BO31" i="1"/>
  <c r="BO35" i="1"/>
  <c r="BO41" i="1"/>
  <c r="BP159" i="1"/>
  <c r="BP41" i="1"/>
  <c r="BQ4" i="1"/>
  <c r="BP13" i="1"/>
  <c r="BP17" i="1"/>
  <c r="BP22" i="1"/>
  <c r="BQ35" i="1"/>
  <c r="BP42" i="1"/>
  <c r="BR62" i="1"/>
  <c r="BO74" i="1"/>
  <c r="BR86" i="1"/>
  <c r="BP110" i="1"/>
  <c r="BP125" i="1"/>
  <c r="BQ139" i="1"/>
  <c r="BQ169" i="1"/>
  <c r="BR206" i="1"/>
  <c r="BQ17" i="1"/>
  <c r="BN35" i="1"/>
  <c r="BR35" i="1"/>
  <c r="BQ42" i="1"/>
  <c r="BP96" i="1"/>
  <c r="BQ110" i="1"/>
  <c r="BQ125" i="1"/>
  <c r="BP178" i="1"/>
  <c r="BR189" i="1"/>
  <c r="BR4" i="1"/>
  <c r="BO4" i="1"/>
  <c r="BP4" i="1"/>
  <c r="BO13" i="1"/>
  <c r="BO17" i="1"/>
  <c r="BO22" i="1"/>
  <c r="BP31" i="1"/>
  <c r="BP35" i="1"/>
  <c r="BO42" i="1"/>
  <c r="BQ62" i="1"/>
  <c r="BR74" i="1"/>
  <c r="BR78" i="1"/>
  <c r="BQ86" i="1"/>
  <c r="BR96" i="1"/>
  <c r="BO125" i="1"/>
  <c r="BP139" i="1"/>
  <c r="BR158" i="1"/>
  <c r="BR159" i="1"/>
  <c r="BP169" i="1"/>
  <c r="BR178" i="1"/>
  <c r="BP189" i="1"/>
  <c r="BQ189" i="1"/>
  <c r="BN4" i="1"/>
  <c r="BQ22" i="1"/>
  <c r="BN31" i="1"/>
  <c r="BR31" i="1"/>
  <c r="BN13" i="1"/>
  <c r="BR13" i="1"/>
  <c r="BR42" i="1"/>
  <c r="BP62" i="1"/>
  <c r="BQ74" i="1"/>
  <c r="BQ78" i="1"/>
  <c r="BP86" i="1"/>
  <c r="BQ96" i="1"/>
  <c r="BR110" i="1"/>
  <c r="BR125" i="1"/>
  <c r="BO139" i="1"/>
  <c r="BQ159" i="1"/>
  <c r="BQ178" i="1"/>
  <c r="AV2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tc={ADABC222-05E0-4C5B-A89F-CD18EEEA4142}</author>
    <author>tc={4DD934FB-6652-40B8-B380-AC84E62A2D22}</author>
  </authors>
  <commentList>
    <comment ref="O102" authorId="0" shapeId="0" xr:uid="{ADABC222-05E0-4C5B-A89F-CD18EEEA414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Habria que cargarse esta fila pues lo hemos metido en "Teoria de la Aproximación" Programa de matemáticas</t>
      </text>
    </comment>
    <comment ref="U125" authorId="1" shapeId="0" xr:uid="{4DD934FB-6652-40B8-B380-AC84E62A2D2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Salen menos que en la suma parcial</t>
      </text>
    </comment>
  </commentList>
</comments>
</file>

<file path=xl/sharedStrings.xml><?xml version="1.0" encoding="utf-8"?>
<sst xmlns="http://schemas.openxmlformats.org/spreadsheetml/2006/main" count="14077" uniqueCount="688">
  <si>
    <t>Curso académico</t>
  </si>
  <si>
    <t>Escuela de Doctorado</t>
  </si>
  <si>
    <t>Programa de Doctorado</t>
  </si>
  <si>
    <t>Línea de Investigación</t>
  </si>
  <si>
    <t>Ciencias de la Salud</t>
  </si>
  <si>
    <t>Biomedicina</t>
  </si>
  <si>
    <t>Evolución Humana. Antropología Física y Forense</t>
  </si>
  <si>
    <t>Actividad Física y Deporte</t>
  </si>
  <si>
    <t>Investigación Traslacional y Medicina Personalizada</t>
  </si>
  <si>
    <t>Biomedicina Regenerativa</t>
  </si>
  <si>
    <t>Inmunología</t>
  </si>
  <si>
    <t>Biotecnología en Biomedicina</t>
  </si>
  <si>
    <t>Ingeniería Tisular</t>
  </si>
  <si>
    <t>Neurociencias Básicas</t>
  </si>
  <si>
    <t>Bioquímica y Biología Molecular</t>
  </si>
  <si>
    <t>Bioquímica y Biología molecular en Ciencias de la vida</t>
  </si>
  <si>
    <t>Biología Molecular de protozoos parásitos</t>
  </si>
  <si>
    <t>Bioquímica y Biología Molecular de plantas y microorganismos</t>
  </si>
  <si>
    <t>Farmacia</t>
  </si>
  <si>
    <t>Química del medicamento</t>
  </si>
  <si>
    <t>Tecnología del medicamento</t>
  </si>
  <si>
    <t>Nuevas dianas terapéuticas</t>
  </si>
  <si>
    <t>Farmacia social</t>
  </si>
  <si>
    <t>Medicina Clínica y Salud Pública</t>
  </si>
  <si>
    <t>Neurociencias clínicas y dolor</t>
  </si>
  <si>
    <t>Radiología y medicina física</t>
  </si>
  <si>
    <t>Investigación en odontología clínica</t>
  </si>
  <si>
    <t>Fisiopatología de las enfermedades médico-quirúrgicas</t>
  </si>
  <si>
    <t>Farmacología Clínica</t>
  </si>
  <si>
    <t>Epidemiología y Salud Pública</t>
  </si>
  <si>
    <t>Agentes infecciosos relacionados con los procesos clínicos</t>
  </si>
  <si>
    <t>Nutrición y Ciencias de los Alimentos</t>
  </si>
  <si>
    <t>Nutrición humana y experimental en situaciones fisiológicas y patológicas. Valoración nutricional</t>
  </si>
  <si>
    <t>Estudios nutricionales. Diseño, calidad y seguridad de los alimentos</t>
  </si>
  <si>
    <t>Bioquímica nutricional</t>
  </si>
  <si>
    <t xml:space="preserve">	Neurociencia del Comportamiento, Cognitiva y Afectiva</t>
  </si>
  <si>
    <t xml:space="preserve">	Psicología Clínica y de la Salud</t>
  </si>
  <si>
    <t xml:space="preserve">	Psicología Social y Educativa</t>
  </si>
  <si>
    <t xml:space="preserve">	Psicología Experimental y Aplicada</t>
  </si>
  <si>
    <t>Psicología Experimental y Aplicada</t>
  </si>
  <si>
    <t>Psicología Clínica y de la Salud</t>
  </si>
  <si>
    <t>Metodología de Investigación y medición en psicología y salud</t>
  </si>
  <si>
    <t>Neurociencia del Comportamiento, Cognitiva y Afectiva</t>
  </si>
  <si>
    <t>Programa de Doctorado en Biomedicina</t>
  </si>
  <si>
    <t>Programa de Doctorado en Bioquímica y Biología Molecular</t>
  </si>
  <si>
    <t>Programa de Doctorado en Farmacia</t>
  </si>
  <si>
    <t>Programa de Doctorado en Medicina Clínica y Salud Pública</t>
  </si>
  <si>
    <t>Programa de Doctorado en Nutrición y Ciencias de los Alimentos</t>
  </si>
  <si>
    <t>Programa de Doctorado en Psicología</t>
  </si>
  <si>
    <t>Programa de Doctorado en Biología Fundamental y de Sistemas</t>
  </si>
  <si>
    <t>Antioxidantes y Señalización por Especies de Oxígeno y Nitrógeno Reactivo en Plantas</t>
  </si>
  <si>
    <t>Biología, Conservación y Gestión de la Fauna</t>
  </si>
  <si>
    <t>Biología, Conservación y Gestión de la Flora</t>
  </si>
  <si>
    <t>Bioquímica, Inmunología y Parasitología Molecular</t>
  </si>
  <si>
    <t>Biotecnología y Fisiología de Cultivos de interés Agroalimentario</t>
  </si>
  <si>
    <t>Fisiología, Bioquímica y Biología Molecular del Estrés Abiótico en Plantas</t>
  </si>
  <si>
    <t>Genética y Genómica funcional y Evolutiva</t>
  </si>
  <si>
    <t>Metabolismo de nutrientes y energía de especies pecuarias</t>
  </si>
  <si>
    <t>Microbiología ambiental</t>
  </si>
  <si>
    <t>Paleontología y Evolución</t>
  </si>
  <si>
    <t>Programa de Doctorado en Ciencias de la Tierra</t>
  </si>
  <si>
    <t>Programa de Doctorado en Dinámica de Flujos Biogeoquímicos y sus Aplicaciones</t>
  </si>
  <si>
    <t>Programa de Doctorado en Estadística Matemática y Aplicada</t>
  </si>
  <si>
    <t>Programa de Doctorado en Física y Ciencias del Espacio</t>
  </si>
  <si>
    <t>Programa de Doctorado en Física y Matemáticas</t>
  </si>
  <si>
    <t>Programa de Doctorado en Ingeniería Civil</t>
  </si>
  <si>
    <t>Programa de Doctorado en Matemáticas</t>
  </si>
  <si>
    <t>Programa de Doctorado en Química</t>
  </si>
  <si>
    <t>Programa de Doctorado en Tecnologías de la información y la Comunicación</t>
  </si>
  <si>
    <t>Programa de Doctorado en Ciencias de la Educación</t>
  </si>
  <si>
    <t>Programa de Doctorado en Ciencias Económicas y Empresariales</t>
  </si>
  <si>
    <t>Programa de Doctorado en Ciencias Jurídicas</t>
  </si>
  <si>
    <t>Programa de Doctorado en Ciencias Sociales</t>
  </si>
  <si>
    <t>Programa de Doctorado en Estudios de las Mujeres, Discursos y Prácticas de Género</t>
  </si>
  <si>
    <t>Programa de Doctorado en Estudios Migratorios</t>
  </si>
  <si>
    <t>Programa de Doctorado en Filosofía</t>
  </si>
  <si>
    <t>Programa de Doctorado en Historia y Artes</t>
  </si>
  <si>
    <t>Programa de Doctorado en Lenguas, Textos y Contextos</t>
  </si>
  <si>
    <t>Ciencias, Tecnologías en Ingenierías</t>
  </si>
  <si>
    <t>Biología Fundamental y de Sistemas</t>
  </si>
  <si>
    <t>Ciencias de la Tierra</t>
  </si>
  <si>
    <t>Geología estructural y Tectónica</t>
  </si>
  <si>
    <t>Geología aplicada a la obra civil y riesgo geológico</t>
  </si>
  <si>
    <t>Paleontología y Paleoecología</t>
  </si>
  <si>
    <t>Geoquímica</t>
  </si>
  <si>
    <t>Paleo-climatología y dinámica atmosférica</t>
  </si>
  <si>
    <t>Petrogénesis y Yacimientos minerales</t>
  </si>
  <si>
    <t>Mineralogía</t>
  </si>
  <si>
    <t>Dinámica de Flujos Biogeoquímicos y sus Aplicaciones</t>
  </si>
  <si>
    <t>Gestión integral de recursos atmosféricos y marinos y de las infraestructuras para su aprovechamiento</t>
  </si>
  <si>
    <t>Procesos litorales y evolución de los sistemas costeros</t>
  </si>
  <si>
    <t>Oceanografía física y ecosistemas marinos</t>
  </si>
  <si>
    <t>Estadística Matemática y Aplicada</t>
  </si>
  <si>
    <t>Análisis multivariante e inferencia en procesos multivariantes</t>
  </si>
  <si>
    <t>Bioestadística</t>
  </si>
  <si>
    <t>Física y Ciencias del Espacio</t>
  </si>
  <si>
    <t>Ciencias Atmosféricas y Meteorología</t>
  </si>
  <si>
    <t>Física Atómica, Molecular y Nuclear</t>
  </si>
  <si>
    <t>Astrofísica Planetaria</t>
  </si>
  <si>
    <t>Ciencia y Tecnología de Nanopartículas e Interfases</t>
  </si>
  <si>
    <t>Física de Partículas, Astropartículas y Cosmología</t>
  </si>
  <si>
    <t>Física de Dispositivos Electrónicos y Semiconductores</t>
  </si>
  <si>
    <t>Óptica</t>
  </si>
  <si>
    <t>Física y Matemáticas</t>
  </si>
  <si>
    <t>Física de la Información. Átomos en Campos Externos. Teoría de Aproximación</t>
  </si>
  <si>
    <t>Geometría y dinámica de partículas y cuerdas relativistas. Geometría de Lorentz y Gravitación</t>
  </si>
  <si>
    <t>Fenómenos cooperativos en Física Estadística: teoría y aplicaciones interdisciplinares. Teoría y simulación de sistemas complejos</t>
  </si>
  <si>
    <t>Biomatemáticas. Biofísica. Dinámica celular y tumoral.Formación de patrones. Ecología</t>
  </si>
  <si>
    <t>Sistemas dinámicos. Dinámica hamiltoniana. Teoría cualitativa de ecuaciones diferenciales. Optimización y métodos variacionales. Análisis no lineal y ecuaciones elípticas</t>
  </si>
  <si>
    <t>Astrofísica galáctica. Radioastronomía. Medio interestelar. Estructura galáctica. Formación estelar</t>
  </si>
  <si>
    <t>Cosmología. Fondo cósmico de microondas. Estructura a gran escala</t>
  </si>
  <si>
    <t>Astrofísica estelar. Evolución estelar. Supernovas</t>
  </si>
  <si>
    <t>Teoría cuántica de campos no lineales. Representación de grupos de dimensión infinita. Cuantización de teorías Gauge. Gravedad cuántica. Física Matemática</t>
  </si>
  <si>
    <t>Ordenación del Territorio. Evaluación y Planificación Ambiental</t>
  </si>
  <si>
    <t>Ingeniería de la Construcción y del Terreno</t>
  </si>
  <si>
    <t>Tratamiento de Aguas</t>
  </si>
  <si>
    <t>Hormigón y Acero Estructural</t>
  </si>
  <si>
    <t>Dinámica de Estructuras e Ingeniería Sísmica</t>
  </si>
  <si>
    <t>Transportes, Energía y Medioambiente</t>
  </si>
  <si>
    <t>Matemáticas</t>
  </si>
  <si>
    <t>Análisis Funcional. Espacios y Álgebras de Banach. Aplicaciones</t>
  </si>
  <si>
    <t>Análisis geométrico</t>
  </si>
  <si>
    <t>Química</t>
  </si>
  <si>
    <t>Química de productos Naturales</t>
  </si>
  <si>
    <t>Metodologías de obtención de información analítica en sistemas reales</t>
  </si>
  <si>
    <t>Bioprocesos</t>
  </si>
  <si>
    <t>Proteómica e ingeniería de proteínas</t>
  </si>
  <si>
    <t>Adsorción y catálisis</t>
  </si>
  <si>
    <t>Química de la coordinación</t>
  </si>
  <si>
    <t>Plegamiento de proteínas e interacción con ligandos</t>
  </si>
  <si>
    <t>I+D+i en tecnología analítica instrumental</t>
  </si>
  <si>
    <t>Soft computing</t>
  </si>
  <si>
    <t>Sistemas Inteligentes de Ayuda a la Decisión</t>
  </si>
  <si>
    <t>Aplicaciones de las TIC: Salud-Bienestar social, Medio ambiente-Energía y Agroalimentarias</t>
  </si>
  <si>
    <t>Procesado y clasificación de imágenes y vídeo. Visión por computador</t>
  </si>
  <si>
    <t>Bioinformática</t>
  </si>
  <si>
    <t>Humanidades y Ciencias Sociales y Jurídicas</t>
  </si>
  <si>
    <t>Ciencias de la Educación</t>
  </si>
  <si>
    <t>Investigación en Educación Física y Deportiva</t>
  </si>
  <si>
    <t>Psicología, Educación y Desarrollo</t>
  </si>
  <si>
    <t>Educación Matemática</t>
  </si>
  <si>
    <t>Currículum, Organización y Formación para la Equidad en la Sociedad del Conocimiento</t>
  </si>
  <si>
    <t>Diagnóstico, Evaluación e Intervención Psicoeducativa</t>
  </si>
  <si>
    <t>Investigación en Educación Musical y en Artes Plásticas</t>
  </si>
  <si>
    <t>Investigación en Educación: Aspectos Teóricos, Históricos y de Educación Social</t>
  </si>
  <si>
    <t>Didáctica de las Lenguas y sus Literaturas</t>
  </si>
  <si>
    <t>Ciencias Económicas y Empresariales</t>
  </si>
  <si>
    <t>Economía pública: recaudación, salud, dependencia, educación y gestión del agua</t>
  </si>
  <si>
    <t>Técnicas Cuantitativas Avanzadas en el Ámbito Económico y Empresarial</t>
  </si>
  <si>
    <t>Sistemas de información económico-financiera para la dirección, gestión y control de entidades públicas y privadas</t>
  </si>
  <si>
    <t>Análisis económico</t>
  </si>
  <si>
    <t>Dirección estratégica, creación de empresas, flexibilidad y calidad</t>
  </si>
  <si>
    <t>Ciencias Jurídicas</t>
  </si>
  <si>
    <t>Derecho de la protección social pública y políticas sociales del Estado del Bienestar</t>
  </si>
  <si>
    <t>Derecho Financiero. Ingresos y gastos públicos</t>
  </si>
  <si>
    <t>Criminalidad y Derecho</t>
  </si>
  <si>
    <t>Metodología, historia del conocimiento y la argumentación jurídica. Evaluación legislativa y aplicación del Derecho</t>
  </si>
  <si>
    <t>Derecho Económico, de los negocios y de la empresa</t>
  </si>
  <si>
    <t>Derecho del Consumo</t>
  </si>
  <si>
    <t>Modelos de Estado, Derechos Fundamentales. Tutela judicial de derechos</t>
  </si>
  <si>
    <t>Ciencias Sociales</t>
  </si>
  <si>
    <t>Ciencia política y de la administración</t>
  </si>
  <si>
    <t>Dinámicas y cambios en el espacio y en la sociedad de la Globalización</t>
  </si>
  <si>
    <t>Antropología de la salud, el cuidado, las adicciones y el cuerpo</t>
  </si>
  <si>
    <t>Cultura de paz</t>
  </si>
  <si>
    <t>Comunicación audiovisual y periodismo</t>
  </si>
  <si>
    <t>Información y comunicación científica</t>
  </si>
  <si>
    <t>Estudios de las Mujeres y de Género: Historia, Discursos, Ciencia y Poder</t>
  </si>
  <si>
    <t>Estudios Migratorios</t>
  </si>
  <si>
    <t>Globalización y movilidad humana: trabajo y migraciones</t>
  </si>
  <si>
    <t>Análisis social, cultural y de género de las migraciones</t>
  </si>
  <si>
    <t>Filosofía</t>
  </si>
  <si>
    <t>Génesis de la modernidad: de Leibniz a Kant</t>
  </si>
  <si>
    <t>Metafísica y Nihilismo: filosofía como terapia y el problema de las pasiones</t>
  </si>
  <si>
    <t>Lenguaje, mente y conocimiento: perspectivas formales y pragmáticas</t>
  </si>
  <si>
    <t>Hermenéutica: crítica y diferencia. Problemas interculturales</t>
  </si>
  <si>
    <t>Historia y Artes</t>
  </si>
  <si>
    <t>Creación Artística, Audiovisual y Reflexión Crítica</t>
  </si>
  <si>
    <t>Cultura, Creación y Educación Musical</t>
  </si>
  <si>
    <t>Al-Andalus y las sociedades feudales</t>
  </si>
  <si>
    <t>Conocimiento y Tutela del Patrimonio Histórico</t>
  </si>
  <si>
    <t>Arqueología y cultura material</t>
  </si>
  <si>
    <t>Territorio, Patrimonio y Medio Ambiente</t>
  </si>
  <si>
    <t>Sociedades y Culturas Americanas</t>
  </si>
  <si>
    <t>Cultura Artística</t>
  </si>
  <si>
    <t>Género e Historia</t>
  </si>
  <si>
    <t>Cambios sociopolíticos en el mundo moderno y contemporáneo</t>
  </si>
  <si>
    <t>Restauración y Conservación de Bienes patrimoniales</t>
  </si>
  <si>
    <t>Historia y tradición clásica</t>
  </si>
  <si>
    <t>Lenguas, Textos y Contextos</t>
  </si>
  <si>
    <t>Judaísmo clásico y medieval y mundo sefardí</t>
  </si>
  <si>
    <t>Literatura Española e hispanoamericana</t>
  </si>
  <si>
    <t>Traducción e Interpretación</t>
  </si>
  <si>
    <t>Lengua y Literatura inglesas</t>
  </si>
  <si>
    <t>Estudios eslavos</t>
  </si>
  <si>
    <t>Lengua española</t>
  </si>
  <si>
    <t>Estudios árabes e islámicos</t>
  </si>
  <si>
    <t>Estudios románicos: lengua y literatura italiana, portuguesa y catalana</t>
  </si>
  <si>
    <t>Minería de datos</t>
  </si>
  <si>
    <t>Sistemas de Información y Bases de datos</t>
  </si>
  <si>
    <t>Interacción Persona-Ordenador</t>
  </si>
  <si>
    <t>Monitorización y Sistemas de Control Avanzados</t>
  </si>
  <si>
    <t>Especificación y Modelado de Sistemas. Desarrollo de Software</t>
  </si>
  <si>
    <t>Psicología</t>
  </si>
  <si>
    <t>Psicología Social y Educativa</t>
  </si>
  <si>
    <t>Derecho Internacional, de la Unión Europea y Comparado</t>
  </si>
  <si>
    <t>Problemas sociales y cursos vitales en la sociedad global</t>
  </si>
  <si>
    <t>Hombre</t>
  </si>
  <si>
    <t>Hombres</t>
  </si>
  <si>
    <t>Mujeres</t>
  </si>
  <si>
    <t>Género</t>
  </si>
  <si>
    <t>Mujer</t>
  </si>
  <si>
    <t>Escuela de Doctorado de Humanidades y Ciencias Sociales y Jurídicas</t>
  </si>
  <si>
    <t>Publicaciones por género</t>
  </si>
  <si>
    <t>Promedio de publicaciones</t>
  </si>
  <si>
    <t>Publicaciones</t>
  </si>
  <si>
    <t>Promedio anual de publicaciones por alumno</t>
  </si>
  <si>
    <t>Promedio de publicaciones por alumno</t>
  </si>
  <si>
    <t>Publicaciones por curso académico</t>
  </si>
  <si>
    <t>Promedio anual de publicaciones</t>
  </si>
  <si>
    <t>Escuela de Doctorado de Ciencias, Tecnologías e Ingenierías</t>
  </si>
  <si>
    <t>Alumnos</t>
  </si>
  <si>
    <t>Alumnos por género</t>
  </si>
  <si>
    <t>Alumnos por curso académico</t>
  </si>
  <si>
    <t>Cotutela con otra UniverSídad</t>
  </si>
  <si>
    <t>No</t>
  </si>
  <si>
    <t>Sí</t>
  </si>
  <si>
    <t>Vinculación UGR</t>
  </si>
  <si>
    <t>Cotutelas</t>
  </si>
  <si>
    <t>Mención Internacional</t>
  </si>
  <si>
    <t>Tesis en Digibug</t>
  </si>
  <si>
    <t>TESEO</t>
  </si>
  <si>
    <t>Tesis en Dialnet</t>
  </si>
  <si>
    <t>Tesis en TESEO</t>
  </si>
  <si>
    <t xml:space="preserve">Total </t>
  </si>
  <si>
    <t>Escuela de Doctorado de Ciencias de la Salud</t>
  </si>
  <si>
    <t>Fecha de lectura</t>
  </si>
  <si>
    <t>Año lectura</t>
  </si>
  <si>
    <t>Alumnos por año de lectura</t>
  </si>
  <si>
    <t>Publicaciones por año de lectuta</t>
  </si>
  <si>
    <t>Publicaciones MI</t>
  </si>
  <si>
    <t>Sin Mención Internacional</t>
  </si>
  <si>
    <t>Publicaciones Sin MI</t>
  </si>
  <si>
    <t>Sin Cotutela</t>
  </si>
  <si>
    <t>Publicaciones Cotutelas</t>
  </si>
  <si>
    <t>Publicaciones Sin Cotutelas</t>
  </si>
  <si>
    <t>Total Publicaciones</t>
  </si>
  <si>
    <t>Sin vinculación</t>
  </si>
  <si>
    <t>Sensores e Instrumentación. Sistemas electrónicos reconfigurables y Electrónica imprimible</t>
  </si>
  <si>
    <t>Recuperación de Información. Web e Internet</t>
  </si>
  <si>
    <t>Redes y Comunicaciones</t>
  </si>
  <si>
    <t>13/09/2018</t>
  </si>
  <si>
    <t>18/09/2018</t>
  </si>
  <si>
    <t>21/09/2018</t>
  </si>
  <si>
    <t>26/09/2018</t>
  </si>
  <si>
    <t>27/09/2018</t>
  </si>
  <si>
    <t>Marketing y consumo</t>
  </si>
  <si>
    <t>28/09/2018</t>
  </si>
  <si>
    <t>Lingüística teórica y aplicada y Teoría de la literatura y literatura comparada</t>
  </si>
  <si>
    <t>Traducción e interpretación</t>
  </si>
  <si>
    <t>16/10/2018</t>
  </si>
  <si>
    <t>18/10/2018</t>
  </si>
  <si>
    <t>19/10/2018</t>
  </si>
  <si>
    <t>22/10/2018</t>
  </si>
  <si>
    <t>Enseñanza de lenguas</t>
  </si>
  <si>
    <t>Análisis de tiempo de vida en fiabilidad y supervivencia</t>
  </si>
  <si>
    <t>23/10/2018</t>
  </si>
  <si>
    <t>25/10/2018</t>
  </si>
  <si>
    <t>26/10/2018</t>
  </si>
  <si>
    <t>Procesado de señal y aplicaciones multidisciplinares</t>
  </si>
  <si>
    <t>29/10/2018</t>
  </si>
  <si>
    <t>30/10/2018</t>
  </si>
  <si>
    <t>31/10/2018</t>
  </si>
  <si>
    <t>14/11/2018</t>
  </si>
  <si>
    <t>15/11/2018</t>
  </si>
  <si>
    <t>16/11/2018</t>
  </si>
  <si>
    <t>19/11/2018</t>
  </si>
  <si>
    <t>21/11/2018</t>
  </si>
  <si>
    <t>Ingeniería Neuronal y Sistemas Integrados Bioinspirados</t>
  </si>
  <si>
    <t>22/11/2018</t>
  </si>
  <si>
    <t>23/11/2018</t>
  </si>
  <si>
    <t>27/11/2018</t>
  </si>
  <si>
    <t>Edafología</t>
  </si>
  <si>
    <t>28/11/2018</t>
  </si>
  <si>
    <t>29/11/2018</t>
  </si>
  <si>
    <t>30/11/2018</t>
  </si>
  <si>
    <t>14/12/2018</t>
  </si>
  <si>
    <t>17/12/2018</t>
  </si>
  <si>
    <t>18/12/2018</t>
  </si>
  <si>
    <t>19/12/2018</t>
  </si>
  <si>
    <t>20/12/2018</t>
  </si>
  <si>
    <t>21/12/2018</t>
  </si>
  <si>
    <t>Ecología Terrestre</t>
  </si>
  <si>
    <t>14/01/2019</t>
  </si>
  <si>
    <t>15/01/2019</t>
  </si>
  <si>
    <t>18/01/2019</t>
  </si>
  <si>
    <t>24/01/2019</t>
  </si>
  <si>
    <t>25/01/2019</t>
  </si>
  <si>
    <t>Literatura española e hispanoamericana</t>
  </si>
  <si>
    <t>28/01/2019</t>
  </si>
  <si>
    <t>29/01/2019</t>
  </si>
  <si>
    <t>30/01/2019</t>
  </si>
  <si>
    <t>31/01/2019</t>
  </si>
  <si>
    <t>15/02/2019</t>
  </si>
  <si>
    <t>Computación de Altas Prestaciones y sus aplicaciones</t>
  </si>
  <si>
    <t>20/02/2019</t>
  </si>
  <si>
    <t>Antropología y diversidad cultural: Cuidadanía, movilidad y conflicto</t>
  </si>
  <si>
    <t>21/02/2019</t>
  </si>
  <si>
    <t>22/02/2019</t>
  </si>
  <si>
    <t>25/02/2019</t>
  </si>
  <si>
    <t>26/02/2019</t>
  </si>
  <si>
    <t>27/02/2019</t>
  </si>
  <si>
    <t>14/03/2019</t>
  </si>
  <si>
    <t>15/03/2019</t>
  </si>
  <si>
    <t>Análisis social, jurídico y político de las migraciones y desarrollo humano: estado de bienestar y gestión de la diversidad</t>
  </si>
  <si>
    <t>22/03/2019</t>
  </si>
  <si>
    <t>25/03/2019</t>
  </si>
  <si>
    <t>28/03/2019</t>
  </si>
  <si>
    <t>29/03/2019</t>
  </si>
  <si>
    <t>Resolución numérica de EDP. Ecuaciones no lineales y métodos numéricos. Modelado numérico de fluidos biológicos y geofísicos</t>
  </si>
  <si>
    <t>Bioquímica Vegetal y Fotosíntesis</t>
  </si>
  <si>
    <t>19/04/2019</t>
  </si>
  <si>
    <t>25/04/2019</t>
  </si>
  <si>
    <t>26/04/2019</t>
  </si>
  <si>
    <t>29/04/2019</t>
  </si>
  <si>
    <t>30/04/2019</t>
  </si>
  <si>
    <t>Internacionalización Económica, Instituciones y Políticas</t>
  </si>
  <si>
    <t>Geomicrobiología y Biogeoquímica</t>
  </si>
  <si>
    <t>13/05/2019</t>
  </si>
  <si>
    <t>14/05/2019</t>
  </si>
  <si>
    <t>Metodología de Investigación y medición en psicología y salud.</t>
  </si>
  <si>
    <t>17/05/2019</t>
  </si>
  <si>
    <t>Hidráulica Computacional</t>
  </si>
  <si>
    <t>22/05/2019</t>
  </si>
  <si>
    <t>23/05/2019</t>
  </si>
  <si>
    <t>24/05/2019</t>
  </si>
  <si>
    <t>27/05/2019</t>
  </si>
  <si>
    <t>28/05/2019</t>
  </si>
  <si>
    <t>29/05/2019</t>
  </si>
  <si>
    <t>30/05/2019</t>
  </si>
  <si>
    <t>31/05/2019</t>
  </si>
  <si>
    <t>Biología Molecular y Biotecnología de las Interacciones Planta-Bacteria</t>
  </si>
  <si>
    <t>Biología, Ecología Molecular y Biotecnología de las Interacciones Planta-Hongos Rizosféricos</t>
  </si>
  <si>
    <t>14/06/2019</t>
  </si>
  <si>
    <t>18/06/2019</t>
  </si>
  <si>
    <t>19/06/2019</t>
  </si>
  <si>
    <t>21/06/2019</t>
  </si>
  <si>
    <t>25/06/2019</t>
  </si>
  <si>
    <t>26/06/2019</t>
  </si>
  <si>
    <t>27/06/2019</t>
  </si>
  <si>
    <t>28/06/2019</t>
  </si>
  <si>
    <t>29/06/2019</t>
  </si>
  <si>
    <t>15/07/2019</t>
  </si>
  <si>
    <t>16/07/2019</t>
  </si>
  <si>
    <t>18/07/2019</t>
  </si>
  <si>
    <t>19/07/2019</t>
  </si>
  <si>
    <t>22/07/2019</t>
  </si>
  <si>
    <t>Ecología Acuática. Cambio Global y Redes Tróficas</t>
  </si>
  <si>
    <t>23/07/2019</t>
  </si>
  <si>
    <t>25/07/2019</t>
  </si>
  <si>
    <t>26/07/2019</t>
  </si>
  <si>
    <t>29/07/2019</t>
  </si>
  <si>
    <t>30/07/2019</t>
  </si>
  <si>
    <t>Nucleosíntesis y Evolución Química de Galaxias</t>
  </si>
  <si>
    <t>Biogeoquímica de nutrientes en sistemas acuáticos continentales</t>
  </si>
  <si>
    <t>Didáctica de las Ciencias Experimentales y Educación para la Sostenibilidad</t>
  </si>
  <si>
    <t>Teoría de aproximación</t>
  </si>
  <si>
    <t>Sismología y Geofísica</t>
  </si>
  <si>
    <t>Síntesis Orgánica</t>
  </si>
  <si>
    <t>Evaluación no-destructiva de Materiales y Estructuras</t>
  </si>
  <si>
    <t>Neurobiología</t>
  </si>
  <si>
    <t>Ecuaciones de evolución en derivadas parciales. Ecuaciones cinéticas y cuánticas. Mecánica de fluidos. Relatividad. Métodos variacionales</t>
  </si>
  <si>
    <t>13/09/2019</t>
  </si>
  <si>
    <t>Análisis funcional. Análisis de Fourier. Geometría infinito-dimensional. Algebras de operadores: C* álgebras</t>
  </si>
  <si>
    <t>16/09/2019</t>
  </si>
  <si>
    <t>19/09/2019</t>
  </si>
  <si>
    <t>Astrofísica Galáctica</t>
  </si>
  <si>
    <t>23/09/2019</t>
  </si>
  <si>
    <t>24/09/2019</t>
  </si>
  <si>
    <t>26/09/2019</t>
  </si>
  <si>
    <t>27/09/2019</t>
  </si>
  <si>
    <t>16/10/2019</t>
  </si>
  <si>
    <t>17/10/2019</t>
  </si>
  <si>
    <t>Genética y Metagenómica de Microorganismos</t>
  </si>
  <si>
    <t>18/10/2019</t>
  </si>
  <si>
    <t>23/10/2019</t>
  </si>
  <si>
    <t>24/10/2019</t>
  </si>
  <si>
    <t>25/10/2019</t>
  </si>
  <si>
    <t>Criminalidad y delito</t>
  </si>
  <si>
    <t>28/10/2019</t>
  </si>
  <si>
    <t>29/10/2019</t>
  </si>
  <si>
    <t>30/10/2019</t>
  </si>
  <si>
    <t>31/10/2019</t>
  </si>
  <si>
    <t>Ecuaciones Diferenciales. Análisis Numérico y Aplicaciones</t>
  </si>
  <si>
    <t>13/11/2019</t>
  </si>
  <si>
    <t>14/11/2019</t>
  </si>
  <si>
    <t>15/11/2019</t>
  </si>
  <si>
    <t>18/11/2019</t>
  </si>
  <si>
    <t>19/11/2019</t>
  </si>
  <si>
    <t>21/11/2019</t>
  </si>
  <si>
    <t>22/11/2019</t>
  </si>
  <si>
    <t>Exopolisacáridos microbianos y microorganismos halófilos</t>
  </si>
  <si>
    <t>Nanoelectrónica. Aplicaciones TIC</t>
  </si>
  <si>
    <t>25/11/2019</t>
  </si>
  <si>
    <t>26/11/2019</t>
  </si>
  <si>
    <t>28/11/2019</t>
  </si>
  <si>
    <t>29/11/2019</t>
  </si>
  <si>
    <t>Investigación clínica en enfermería, fisioterapia y terapia ocupacional</t>
  </si>
  <si>
    <t>13/12/2019</t>
  </si>
  <si>
    <t>Formas de pensamiento y Religión</t>
  </si>
  <si>
    <t>16/12/2019</t>
  </si>
  <si>
    <t>17/12/2019</t>
  </si>
  <si>
    <t>18/12/2019</t>
  </si>
  <si>
    <t>19/12/2019</t>
  </si>
  <si>
    <t>20/12/2019</t>
  </si>
  <si>
    <t>Normatividad y racionalidad: organizaciones y políticas públicas</t>
  </si>
  <si>
    <t>14/01/2020</t>
  </si>
  <si>
    <t>17/01/2020</t>
  </si>
  <si>
    <t>21/01/2020</t>
  </si>
  <si>
    <t>22/01/2020</t>
  </si>
  <si>
    <t>23/01/2020</t>
  </si>
  <si>
    <t>24/01/2020</t>
  </si>
  <si>
    <t>Análisis de datos funcionales</t>
  </si>
  <si>
    <t>27/01/2020</t>
  </si>
  <si>
    <t>29/01/2020</t>
  </si>
  <si>
    <t>30/01/2020</t>
  </si>
  <si>
    <t>31/01/2020</t>
  </si>
  <si>
    <t>Depuración de efluentes</t>
  </si>
  <si>
    <t>14/02/2020</t>
  </si>
  <si>
    <t>18/02/2020</t>
  </si>
  <si>
    <t>21/02/2020</t>
  </si>
  <si>
    <t>25/02/2020</t>
  </si>
  <si>
    <t>26/02/2020</t>
  </si>
  <si>
    <t>Victimología</t>
  </si>
  <si>
    <t>27/02/2020</t>
  </si>
  <si>
    <t>Innovación y estrategia en Empresas y Organizaciones: Medio Ambiente, Internacionalización y Recursos Humanos</t>
  </si>
  <si>
    <t>13/03/2020</t>
  </si>
  <si>
    <t>16/03/2020</t>
  </si>
  <si>
    <t>30/03/2020</t>
  </si>
  <si>
    <t>31/03/2020</t>
  </si>
  <si>
    <t>17/04/2020</t>
  </si>
  <si>
    <t>22/04/2020</t>
  </si>
  <si>
    <t>23/04/2020</t>
  </si>
  <si>
    <t>24/04/2020</t>
  </si>
  <si>
    <t>27/04/2020</t>
  </si>
  <si>
    <t>29/04/2020</t>
  </si>
  <si>
    <t>30/04/2020</t>
  </si>
  <si>
    <t>14/05/2020</t>
  </si>
  <si>
    <t>15/05/2020</t>
  </si>
  <si>
    <t>19/05/2020</t>
  </si>
  <si>
    <t>21/05/2020</t>
  </si>
  <si>
    <t>22/05/2020</t>
  </si>
  <si>
    <t>25/05/2020</t>
  </si>
  <si>
    <t>26/05/2020</t>
  </si>
  <si>
    <t>28/05/2020</t>
  </si>
  <si>
    <t>29/05/2020</t>
  </si>
  <si>
    <t>17/06/2020</t>
  </si>
  <si>
    <t>Superficies minimales. Superficies de curvatura media constante. Desigualdades isoperimétricas. Teoría geométrica de la medida. Grupos de Heisenberg</t>
  </si>
  <si>
    <t>18/06/2020</t>
  </si>
  <si>
    <t>19/06/2020</t>
  </si>
  <si>
    <t>22/06/2020</t>
  </si>
  <si>
    <t>23/06/2020</t>
  </si>
  <si>
    <t>24/06/2020</t>
  </si>
  <si>
    <t>25/06/2020</t>
  </si>
  <si>
    <t>Salud, enfermedad, ciencia y cultura</t>
  </si>
  <si>
    <t>26/06/2020</t>
  </si>
  <si>
    <t>29/06/2020</t>
  </si>
  <si>
    <t>Física Teórica. Física en más de cuatro dimensiones</t>
  </si>
  <si>
    <t>30/06/2020</t>
  </si>
  <si>
    <t>13/07/2020</t>
  </si>
  <si>
    <t>14/07/2020</t>
  </si>
  <si>
    <t>15/07/2020</t>
  </si>
  <si>
    <t>16/07/2020</t>
  </si>
  <si>
    <t>17/07/2020</t>
  </si>
  <si>
    <t>20/07/2020</t>
  </si>
  <si>
    <t>21/07/2020</t>
  </si>
  <si>
    <t>Trabajo social, bienestar social y políticas de protección social</t>
  </si>
  <si>
    <t>22/07/2020</t>
  </si>
  <si>
    <t>23/07/2020</t>
  </si>
  <si>
    <t>Complejidad estructural y valores extremos en procesos espacio-temporales</t>
  </si>
  <si>
    <t>24/07/2020</t>
  </si>
  <si>
    <t>27/07/2020</t>
  </si>
  <si>
    <t>28/07/2020</t>
  </si>
  <si>
    <t>29/07/2020</t>
  </si>
  <si>
    <t>30/07/2020</t>
  </si>
  <si>
    <t>Educación de las Artes, Museos y Cultura Visual: Políticas Culturales</t>
  </si>
  <si>
    <t>Geología marina</t>
  </si>
  <si>
    <t>Derecho, Medioambiente, Urbanismo y Ordenación del Territorio</t>
  </si>
  <si>
    <t>14/09/2020</t>
  </si>
  <si>
    <t>16/09/2020</t>
  </si>
  <si>
    <t>17/09/2020</t>
  </si>
  <si>
    <t>Lengua y literatura francesas</t>
  </si>
  <si>
    <t>18/09/2020</t>
  </si>
  <si>
    <t>24/09/2020</t>
  </si>
  <si>
    <t>25/09/2020</t>
  </si>
  <si>
    <t>28/09/2020</t>
  </si>
  <si>
    <t>30/09/2020</t>
  </si>
  <si>
    <t>15/10/2020</t>
  </si>
  <si>
    <t>16/10/2020</t>
  </si>
  <si>
    <t>20/10/2020</t>
  </si>
  <si>
    <t>21/10/2020</t>
  </si>
  <si>
    <t>22/10/2020</t>
  </si>
  <si>
    <t>23/10/2020</t>
  </si>
  <si>
    <t>28/10/2020</t>
  </si>
  <si>
    <t>29/10/2020</t>
  </si>
  <si>
    <t>30/10/2020</t>
  </si>
  <si>
    <t>20/11/2020</t>
  </si>
  <si>
    <t>23/11/2020</t>
  </si>
  <si>
    <t>24/11/2020</t>
  </si>
  <si>
    <t>25/11/2020</t>
  </si>
  <si>
    <t>27/11/2020</t>
  </si>
  <si>
    <t>30/11/2020</t>
  </si>
  <si>
    <t>Estratografía y Sedimentología</t>
  </si>
  <si>
    <t>14/12/2020</t>
  </si>
  <si>
    <t>15/12/2020</t>
  </si>
  <si>
    <t>16/12/2020</t>
  </si>
  <si>
    <t>Computación Ubicua e Inteligencia Ambiental</t>
  </si>
  <si>
    <t>17/12/2020</t>
  </si>
  <si>
    <t>18/12/2020</t>
  </si>
  <si>
    <t>21/12/2020</t>
  </si>
  <si>
    <t>22/12/2020</t>
  </si>
  <si>
    <t>13/01/2021</t>
  </si>
  <si>
    <t>15/01/2021</t>
  </si>
  <si>
    <t>19/01/2021</t>
  </si>
  <si>
    <t>20/01/2021</t>
  </si>
  <si>
    <t>Filosofía española y latinoamericana: del barroco a la actualidad</t>
  </si>
  <si>
    <t>21/01/2021</t>
  </si>
  <si>
    <t>22/01/2021</t>
  </si>
  <si>
    <t>25/01/2021</t>
  </si>
  <si>
    <t>27/01/2021</t>
  </si>
  <si>
    <t>28/01/2021</t>
  </si>
  <si>
    <t>29/01/2021</t>
  </si>
  <si>
    <t>16/02/2021</t>
  </si>
  <si>
    <t>17/02/2021</t>
  </si>
  <si>
    <t>18/02/2021</t>
  </si>
  <si>
    <t>19/02/2021</t>
  </si>
  <si>
    <t>22/02/2021</t>
  </si>
  <si>
    <t>25/02/2021</t>
  </si>
  <si>
    <t>26/02/2021</t>
  </si>
  <si>
    <t>Genética y Genómica humana</t>
  </si>
  <si>
    <t>16/03/2021</t>
  </si>
  <si>
    <t>18/03/2021</t>
  </si>
  <si>
    <t>19/03/2021</t>
  </si>
  <si>
    <t>23/03/2021</t>
  </si>
  <si>
    <t>24/03/2021</t>
  </si>
  <si>
    <t>26/03/2021</t>
  </si>
  <si>
    <t>Mecánica computacional</t>
  </si>
  <si>
    <t>15/04/2021</t>
  </si>
  <si>
    <t>16/04/2021</t>
  </si>
  <si>
    <t>19/04/2021</t>
  </si>
  <si>
    <t>20/04/2021</t>
  </si>
  <si>
    <t>21/04/2021</t>
  </si>
  <si>
    <t>23/04/2021</t>
  </si>
  <si>
    <t>26/04/2021</t>
  </si>
  <si>
    <t>27/04/2021</t>
  </si>
  <si>
    <t>29/04/2021</t>
  </si>
  <si>
    <t>30/04/2021</t>
  </si>
  <si>
    <t>13/05/2021</t>
  </si>
  <si>
    <t>14/05/2021</t>
  </si>
  <si>
    <t>19/05/2021</t>
  </si>
  <si>
    <t>20/05/2021</t>
  </si>
  <si>
    <t>21/05/2021</t>
  </si>
  <si>
    <t>Teoremas límites funcionales para campos aleatorios y procesos Hilbert-valuados</t>
  </si>
  <si>
    <t>Literatura y civilización bizantinas y estudios neogriegos</t>
  </si>
  <si>
    <t>26/05/2021</t>
  </si>
  <si>
    <t>27/05/2021</t>
  </si>
  <si>
    <t>28/05/2021</t>
  </si>
  <si>
    <t>31/05/2021</t>
  </si>
  <si>
    <t>15/06/2021</t>
  </si>
  <si>
    <t>16/06/2021</t>
  </si>
  <si>
    <t>18/06/2021</t>
  </si>
  <si>
    <t>21/06/2021</t>
  </si>
  <si>
    <t>23/06/2021</t>
  </si>
  <si>
    <t>25/06/2021</t>
  </si>
  <si>
    <t>28/06/2021</t>
  </si>
  <si>
    <t>Muestreo de poblaciones finitas</t>
  </si>
  <si>
    <t>29/06/2021</t>
  </si>
  <si>
    <t>Modelos markovianos y fiabilidad de sistemas</t>
  </si>
  <si>
    <t>30/06/2021</t>
  </si>
  <si>
    <t>13/07/2021</t>
  </si>
  <si>
    <t>14/07/2021</t>
  </si>
  <si>
    <t>15/07/2021</t>
  </si>
  <si>
    <t>16/07/2021</t>
  </si>
  <si>
    <t>19/07/2021</t>
  </si>
  <si>
    <t>20/07/2021</t>
  </si>
  <si>
    <t>21/07/2021</t>
  </si>
  <si>
    <t>22/07/2021</t>
  </si>
  <si>
    <t>23/07/2021</t>
  </si>
  <si>
    <t>26/07/2021</t>
  </si>
  <si>
    <t>27/07/2021</t>
  </si>
  <si>
    <t>28/07/2021</t>
  </si>
  <si>
    <t>29/07/2021</t>
  </si>
  <si>
    <t>Dinámicas territoriales y urbanas. Transformaciones sociodemográficas</t>
  </si>
  <si>
    <t>Factores psicosociales de la delincuencia</t>
  </si>
  <si>
    <t>Derecho sanitario y biotecnológico</t>
  </si>
  <si>
    <t>13/09/2021</t>
  </si>
  <si>
    <t>16/09/2021</t>
  </si>
  <si>
    <t>17/09/2021</t>
  </si>
  <si>
    <t>20/09/2021</t>
  </si>
  <si>
    <t>21/09/2021</t>
  </si>
  <si>
    <t>22/09/2021</t>
  </si>
  <si>
    <t>23/09/2021</t>
  </si>
  <si>
    <t>24/09/2021</t>
  </si>
  <si>
    <t>27/09/2021</t>
  </si>
  <si>
    <t>28/09/2021</t>
  </si>
  <si>
    <t>29/09/2021</t>
  </si>
  <si>
    <t>30/09/2021</t>
  </si>
  <si>
    <t>13/10/2021</t>
  </si>
  <si>
    <t>14/10/2021</t>
  </si>
  <si>
    <t>15/10/2021</t>
  </si>
  <si>
    <t>21/10/2021</t>
  </si>
  <si>
    <t>22/10/2021</t>
  </si>
  <si>
    <t>Desarrollo de recursos humanos y nuevas tecnologías</t>
  </si>
  <si>
    <t>25/10/2021</t>
  </si>
  <si>
    <t>26/10/2021</t>
  </si>
  <si>
    <t>28/10/2021</t>
  </si>
  <si>
    <t>29/10/2021</t>
  </si>
  <si>
    <t>15/11/2021</t>
  </si>
  <si>
    <t>16/11/2021</t>
  </si>
  <si>
    <t>17/11/2021</t>
  </si>
  <si>
    <t>19/11/2021</t>
  </si>
  <si>
    <t>22/11/2021</t>
  </si>
  <si>
    <t>24/11/2021</t>
  </si>
  <si>
    <t>26/11/2021</t>
  </si>
  <si>
    <t>29/11/2021</t>
  </si>
  <si>
    <t>30/11/2021</t>
  </si>
  <si>
    <t>13/12/2021</t>
  </si>
  <si>
    <t>15/12/2021</t>
  </si>
  <si>
    <t>16/12/2021</t>
  </si>
  <si>
    <t>17/12/2021</t>
  </si>
  <si>
    <t>20/12/2021</t>
  </si>
  <si>
    <t>21/12/2021</t>
  </si>
  <si>
    <t>Sistemas Cognitivos y Robótica</t>
  </si>
  <si>
    <t>Bioética</t>
  </si>
  <si>
    <t>14/01/2022</t>
  </si>
  <si>
    <t>17/01/2022</t>
  </si>
  <si>
    <t>18/01/2022</t>
  </si>
  <si>
    <t>19/01/2022</t>
  </si>
  <si>
    <t>21/01/2022</t>
  </si>
  <si>
    <t>24/01/2022</t>
  </si>
  <si>
    <t>25/01/2022</t>
  </si>
  <si>
    <t>27/01/2022</t>
  </si>
  <si>
    <t>28/01/2022</t>
  </si>
  <si>
    <t>31/01/2022</t>
  </si>
  <si>
    <t>15/02/2022</t>
  </si>
  <si>
    <t>18/02/2022</t>
  </si>
  <si>
    <t>21/02/2022</t>
  </si>
  <si>
    <t>22/02/2022</t>
  </si>
  <si>
    <t>23/02/2022</t>
  </si>
  <si>
    <t>24/02/2022</t>
  </si>
  <si>
    <t>25/02/2022</t>
  </si>
  <si>
    <t>16/03/2022</t>
  </si>
  <si>
    <t>17/03/2022</t>
  </si>
  <si>
    <t>18/03/2022</t>
  </si>
  <si>
    <t>21/03/2022</t>
  </si>
  <si>
    <t>22/03/2022</t>
  </si>
  <si>
    <t>24/03/2022</t>
  </si>
  <si>
    <t>25/03/2022</t>
  </si>
  <si>
    <t>Criminología ambiental y prevención situacional</t>
  </si>
  <si>
    <t>28/03/2022</t>
  </si>
  <si>
    <t>30/03/2022</t>
  </si>
  <si>
    <t>31/03/2022</t>
  </si>
  <si>
    <t>18/04/2022</t>
  </si>
  <si>
    <t>19/04/2022</t>
  </si>
  <si>
    <t>20/04/2022</t>
  </si>
  <si>
    <t>21/04/2022</t>
  </si>
  <si>
    <t>22/04/2022</t>
  </si>
  <si>
    <t>26/04/2022</t>
  </si>
  <si>
    <t>27/04/2022</t>
  </si>
  <si>
    <t>28/04/2022</t>
  </si>
  <si>
    <t>29/04/2022</t>
  </si>
  <si>
    <t>13/05/2022</t>
  </si>
  <si>
    <t>16/05/2022</t>
  </si>
  <si>
    <t>17/05/2022</t>
  </si>
  <si>
    <t>20/05/2022</t>
  </si>
  <si>
    <t>23/05/2022</t>
  </si>
  <si>
    <t>27/05/2022</t>
  </si>
  <si>
    <t>30/05/2022</t>
  </si>
  <si>
    <t>31/05/2022</t>
  </si>
  <si>
    <t>20/06/2022</t>
  </si>
  <si>
    <t>TeSís en Digibug</t>
  </si>
  <si>
    <t>Tecnologías de la Información y la Comunicación</t>
  </si>
  <si>
    <t>Estudios de las Mujeres, Discursos y Prácticas de Género</t>
  </si>
  <si>
    <t>Ingeniería Civil</t>
  </si>
  <si>
    <t>Criminología</t>
  </si>
  <si>
    <t>Artes y Educación</t>
  </si>
  <si>
    <t>Ciudad, Territorio y Planificación Sostenible</t>
  </si>
  <si>
    <t>Lingüistica teórica y aplicada y Teoría de la literatura y literatura comparada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</si>
</sst>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1717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10B0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indent="1"/>
    </xf>
    <xf numFmtId="0" fontId="1" fillId="2" borderId="4" xfId="0" applyFont="1" applyFill="1" applyBorder="1" applyAlignment="1">
      <alignment horizontal="left" indent="1"/>
    </xf>
    <xf numFmtId="14" fontId="0" fillId="0" borderId="0" xfId="0" applyNumberFormat="1"/>
    <xf numFmtId="0" fontId="2" fillId="5" borderId="1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0" xfId="0" applyNumberFormat="1"/>
    <xf numFmtId="164" fontId="0" fillId="3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0" fillId="9" borderId="2" xfId="0" applyFill="1" applyBorder="1" applyAlignment="1">
      <alignment horizontal="left" indent="3"/>
    </xf>
    <xf numFmtId="0" fontId="0" fillId="9" borderId="3" xfId="0" applyFill="1" applyBorder="1" applyAlignment="1">
      <alignment horizontal="left" indent="3"/>
    </xf>
    <xf numFmtId="0" fontId="0" fillId="9" borderId="4" xfId="0" applyFill="1" applyBorder="1" applyAlignment="1">
      <alignment horizontal="left" indent="3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0" fontId="0" fillId="9" borderId="0" xfId="0" applyFill="1"/>
    <xf numFmtId="164" fontId="0" fillId="10" borderId="1" xfId="0" applyNumberForma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4" fontId="0" fillId="11" borderId="1" xfId="0" applyNumberFormat="1" applyFill="1" applyBorder="1" applyAlignment="1">
      <alignment horizontal="center"/>
    </xf>
    <xf numFmtId="164" fontId="1" fillId="11" borderId="1" xfId="0" applyNumberFormat="1" applyFont="1" applyFill="1" applyBorder="1" applyAlignment="1">
      <alignment horizontal="center"/>
    </xf>
    <xf numFmtId="0" fontId="0" fillId="11" borderId="0" xfId="0" applyFill="1"/>
    <xf numFmtId="0" fontId="0" fillId="12" borderId="2" xfId="0" applyFill="1" applyBorder="1" applyAlignment="1">
      <alignment horizontal="left" indent="1"/>
    </xf>
    <xf numFmtId="0" fontId="0" fillId="12" borderId="3" xfId="0" applyFill="1" applyBorder="1" applyAlignment="1">
      <alignment horizontal="left" indent="1"/>
    </xf>
    <xf numFmtId="0" fontId="0" fillId="12" borderId="4" xfId="0" applyFill="1" applyBorder="1" applyAlignment="1">
      <alignment horizontal="left" indent="1"/>
    </xf>
    <xf numFmtId="0" fontId="0" fillId="12" borderId="3" xfId="0" applyFill="1" applyBorder="1" applyAlignment="1">
      <alignment horizontal="left"/>
    </xf>
    <xf numFmtId="0" fontId="0" fillId="12" borderId="4" xfId="0" applyFill="1" applyBorder="1" applyAlignment="1">
      <alignment horizontal="left"/>
    </xf>
    <xf numFmtId="164" fontId="0" fillId="9" borderId="1" xfId="0" applyNumberFormat="1" applyFill="1" applyBorder="1" applyAlignment="1">
      <alignment horizontal="center"/>
    </xf>
    <xf numFmtId="0" fontId="6" fillId="13" borderId="0" xfId="0" applyFont="1" applyFill="1"/>
    <xf numFmtId="0" fontId="0" fillId="14" borderId="1" xfId="0" applyFill="1" applyBorder="1" applyAlignment="1">
      <alignment horizontal="center"/>
    </xf>
    <xf numFmtId="0" fontId="0" fillId="9" borderId="2" xfId="0" applyFill="1" applyBorder="1" applyAlignment="1">
      <alignment horizontal="left" wrapText="1" indent="3"/>
    </xf>
    <xf numFmtId="0" fontId="0" fillId="9" borderId="3" xfId="0" applyFill="1" applyBorder="1" applyAlignment="1">
      <alignment horizontal="left" wrapText="1" indent="3"/>
    </xf>
    <xf numFmtId="0" fontId="0" fillId="9" borderId="4" xfId="0" applyFill="1" applyBorder="1" applyAlignment="1">
      <alignment horizontal="left" wrapText="1" indent="3"/>
    </xf>
    <xf numFmtId="0" fontId="0" fillId="9" borderId="2" xfId="0" applyFill="1" applyBorder="1" applyAlignment="1">
      <alignment horizontal="left" indent="3"/>
    </xf>
    <xf numFmtId="0" fontId="0" fillId="9" borderId="3" xfId="0" applyFill="1" applyBorder="1" applyAlignment="1">
      <alignment horizontal="left" indent="3"/>
    </xf>
    <xf numFmtId="0" fontId="0" fillId="9" borderId="4" xfId="0" applyFill="1" applyBorder="1" applyAlignment="1">
      <alignment horizontal="left" indent="3"/>
    </xf>
    <xf numFmtId="0" fontId="0" fillId="9" borderId="2" xfId="0" applyFill="1" applyBorder="1" applyAlignment="1">
      <alignment horizontal="left" indent="1"/>
    </xf>
    <xf numFmtId="0" fontId="0" fillId="9" borderId="3" xfId="0" applyFill="1" applyBorder="1" applyAlignment="1">
      <alignment horizontal="left" indent="1"/>
    </xf>
    <xf numFmtId="0" fontId="0" fillId="9" borderId="4" xfId="0" applyFill="1" applyBorder="1" applyAlignment="1">
      <alignment horizontal="left" indent="1"/>
    </xf>
    <xf numFmtId="0" fontId="2" fillId="5" borderId="5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164" fontId="2" fillId="5" borderId="2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2" fillId="5" borderId="4" xfId="0" applyNumberFormat="1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4" borderId="2" xfId="0" applyFill="1" applyBorder="1" applyAlignment="1">
      <alignment horizontal="left" indent="3"/>
    </xf>
    <xf numFmtId="0" fontId="0" fillId="4" borderId="3" xfId="0" applyFill="1" applyBorder="1" applyAlignment="1">
      <alignment horizontal="left" indent="3"/>
    </xf>
    <xf numFmtId="0" fontId="0" fillId="4" borderId="4" xfId="0" applyFill="1" applyBorder="1" applyAlignment="1">
      <alignment horizontal="left" indent="3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 wrapText="1" indent="3"/>
    </xf>
    <xf numFmtId="0" fontId="0" fillId="4" borderId="3" xfId="0" applyFill="1" applyBorder="1" applyAlignment="1">
      <alignment horizontal="left" wrapText="1" indent="3"/>
    </xf>
    <xf numFmtId="0" fontId="0" fillId="4" borderId="4" xfId="0" applyFill="1" applyBorder="1" applyAlignment="1">
      <alignment horizontal="left" wrapText="1" indent="3"/>
    </xf>
    <xf numFmtId="0" fontId="0" fillId="7" borderId="2" xfId="0" applyFill="1" applyBorder="1" applyAlignment="1">
      <alignment horizontal="left" wrapText="1" indent="3"/>
    </xf>
    <xf numFmtId="0" fontId="0" fillId="7" borderId="3" xfId="0" applyFill="1" applyBorder="1" applyAlignment="1">
      <alignment horizontal="left" indent="3"/>
    </xf>
    <xf numFmtId="0" fontId="0" fillId="7" borderId="4" xfId="0" applyFill="1" applyBorder="1" applyAlignment="1">
      <alignment horizontal="left" indent="3"/>
    </xf>
    <xf numFmtId="0" fontId="0" fillId="7" borderId="2" xfId="0" applyFill="1" applyBorder="1" applyAlignment="1">
      <alignment horizontal="left" indent="3"/>
    </xf>
    <xf numFmtId="0" fontId="0" fillId="8" borderId="2" xfId="0" applyFill="1" applyBorder="1" applyAlignment="1">
      <alignment horizontal="left" indent="3"/>
    </xf>
    <xf numFmtId="0" fontId="0" fillId="8" borderId="3" xfId="0" applyFill="1" applyBorder="1" applyAlignment="1">
      <alignment horizontal="left" indent="3"/>
    </xf>
    <xf numFmtId="0" fontId="0" fillId="8" borderId="4" xfId="0" applyFill="1" applyBorder="1" applyAlignment="1">
      <alignment horizontal="left" indent="3"/>
    </xf>
    <xf numFmtId="0" fontId="0" fillId="6" borderId="2" xfId="0" applyFill="1" applyBorder="1" applyAlignment="1">
      <alignment horizontal="left" indent="3"/>
    </xf>
    <xf numFmtId="0" fontId="0" fillId="6" borderId="3" xfId="0" applyFill="1" applyBorder="1" applyAlignment="1">
      <alignment horizontal="left" indent="3"/>
    </xf>
    <xf numFmtId="0" fontId="0" fillId="6" borderId="4" xfId="0" applyFill="1" applyBorder="1" applyAlignment="1">
      <alignment horizontal="left" indent="3"/>
    </xf>
    <xf numFmtId="0" fontId="0" fillId="12" borderId="2" xfId="0" applyFill="1" applyBorder="1" applyAlignment="1">
      <alignment horizontal="left" indent="1"/>
    </xf>
    <xf numFmtId="0" fontId="0" fillId="12" borderId="3" xfId="0" applyFill="1" applyBorder="1" applyAlignment="1">
      <alignment horizontal="left" indent="1"/>
    </xf>
    <xf numFmtId="0" fontId="0" fillId="12" borderId="4" xfId="0" applyFill="1" applyBorder="1" applyAlignment="1">
      <alignment horizontal="left" indent="1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CD9B"/>
      <color rgb="FFFFABAB"/>
      <color rgb="FFC10B0B"/>
      <color rgb="FF570505"/>
      <color rgb="FF8E0808"/>
      <color rgb="FF700606"/>
      <color rgb="FFA30909"/>
      <color rgb="FF4B823E"/>
      <color rgb="FFB0D5A7"/>
      <color rgb="FF8AC1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cap="none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Calibri (Cuerpo)"/>
                <a:ea typeface="+mn-ea"/>
                <a:cs typeface="+mn-cs"/>
              </a:defRPr>
            </a:pPr>
            <a:r>
              <a:rPr lang="es-ES" sz="1500" cap="none" baseline="0">
                <a:latin typeface="Calibri (Cuerpo)"/>
              </a:rPr>
              <a:t>Número de alumnos por género</a:t>
            </a:r>
          </a:p>
        </c:rich>
      </c:tx>
      <c:layout>
        <c:manualLayout>
          <c:xMode val="edge"/>
          <c:yMode val="edge"/>
          <c:x val="0.11028455818022749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cap="none" spc="150" baseline="0">
              <a:solidFill>
                <a:schemeClr val="tx1">
                  <a:lumMod val="50000"/>
                  <a:lumOff val="50000"/>
                </a:schemeClr>
              </a:solidFill>
              <a:latin typeface="Calibri (Cuerpo)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flip="none" rotWithShape="1">
                <a:gsLst>
                  <a:gs pos="0">
                    <a:schemeClr val="accent5">
                      <a:lumMod val="67000"/>
                      <a:alpha val="99000"/>
                    </a:schemeClr>
                  </a:gs>
                  <a:gs pos="48000">
                    <a:schemeClr val="accent5">
                      <a:lumMod val="97000"/>
                      <a:lumOff val="3000"/>
                    </a:schemeClr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 scaled="1"/>
                <a:tileRect/>
              </a:gradFill>
              <a:ln w="19050">
                <a:solidFill>
                  <a:schemeClr val="lt1"/>
                </a:solidFill>
              </a:ln>
              <a:effectLst>
                <a:innerShdw blurRad="114300">
                  <a:schemeClr val="tx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66B3-47F0-8913-E284AB2F3CD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3">
                      <a:lumMod val="67000"/>
                    </a:schemeClr>
                  </a:gs>
                  <a:gs pos="51000">
                    <a:schemeClr val="accent3">
                      <a:lumMod val="97000"/>
                      <a:lumOff val="3000"/>
                    </a:schemeClr>
                  </a:gs>
                  <a:gs pos="100000">
                    <a:schemeClr val="accent3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19050">
                <a:solidFill>
                  <a:schemeClr val="lt1"/>
                </a:solidFill>
              </a:ln>
              <a:effectLst>
                <a:innerShdw blurRad="114300">
                  <a:schemeClr val="bg2">
                    <a:lumMod val="25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66B3-47F0-8913-E284AB2F3C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, </c:separator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(Indicadores!$V$2,Indicadores!$W$2)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(Indicadores!$V$242,Indicadores!$W$242)</c:f>
              <c:numCache>
                <c:formatCode>General</c:formatCode>
                <c:ptCount val="2"/>
                <c:pt idx="0">
                  <c:v>723</c:v>
                </c:pt>
                <c:pt idx="1">
                  <c:v>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B3-47F0-8913-E284AB2F3CD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750940507436559"/>
          <c:y val="0.44727945465150187"/>
          <c:w val="0.16365879265091862"/>
          <c:h val="0.17866360454943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Relación Doctorados Internacionales y publicaciones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Publicaciones</c:v>
          </c:tx>
          <c:spPr>
            <a:gradFill>
              <a:gsLst>
                <a:gs pos="0">
                  <a:srgbClr val="F8F8F8"/>
                </a:gs>
                <a:gs pos="0">
                  <a:schemeClr val="bg2">
                    <a:lumMod val="75000"/>
                  </a:schemeClr>
                </a:gs>
                <a:gs pos="34000">
                  <a:schemeClr val="tx1">
                    <a:lumMod val="50000"/>
                    <a:lumOff val="50000"/>
                  </a:schemeClr>
                </a:gs>
                <a:gs pos="100000">
                  <a:schemeClr val="tx1">
                    <a:lumMod val="65000"/>
                    <a:lumOff val="35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9268250213520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65-4392-98EC-00092670B246}"/>
                </c:ext>
              </c:extLst>
            </c:dLbl>
            <c:dLbl>
              <c:idx val="1"/>
              <c:layout>
                <c:manualLayout>
                  <c:x val="-8.5691052522063757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65-4392-98EC-00092670B2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Mención Internacional</c:v>
              </c:pt>
              <c:pt idx="1">
                <c:v>Sin Mención Internacional</c:v>
              </c:pt>
            </c:strLit>
          </c:cat>
          <c:val>
            <c:numRef>
              <c:f>Indicadores!$AM$243:$AN$243</c:f>
              <c:numCache>
                <c:formatCode>General</c:formatCode>
                <c:ptCount val="2"/>
                <c:pt idx="0">
                  <c:v>1665</c:v>
                </c:pt>
                <c:pt idx="1">
                  <c:v>1528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2-4A18-ABB1-37F548A08E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879104480"/>
        <c:axId val="1879107392"/>
      </c:barChart>
      <c:lineChart>
        <c:grouping val="standard"/>
        <c:varyColors val="0"/>
        <c:ser>
          <c:idx val="0"/>
          <c:order val="0"/>
          <c:tx>
            <c:v>Doctorados</c:v>
          </c:tx>
          <c:spPr>
            <a:ln w="28575" cap="rnd">
              <a:solidFill>
                <a:srgbClr val="8E0808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8E0808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Indicadores!$AM$242:$AN$242</c:f>
              <c:numCache>
                <c:formatCode>General</c:formatCode>
                <c:ptCount val="2"/>
                <c:pt idx="0">
                  <c:v>630</c:v>
                </c:pt>
                <c:pt idx="1">
                  <c:v>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2-4A18-ABB1-37F548A08E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79104480"/>
        <c:axId val="1879107392"/>
      </c:lineChart>
      <c:catAx>
        <c:axId val="187910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9107392"/>
        <c:crosses val="autoZero"/>
        <c:auto val="1"/>
        <c:lblAlgn val="ctr"/>
        <c:lblOffset val="100"/>
        <c:noMultiLvlLbl val="0"/>
      </c:catAx>
      <c:valAx>
        <c:axId val="18791073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7910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0" i="0" baseline="0">
                <a:effectLst/>
              </a:rPr>
              <a:t>Total de tesis cotuteladas</a:t>
            </a:r>
            <a:endParaRPr lang="es-E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8E080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CF6-45F6-A8C1-60FB516F6BBE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F8F8F8"/>
                  </a:gs>
                  <a:gs pos="0">
                    <a:schemeClr val="bg2">
                      <a:lumMod val="75000"/>
                    </a:schemeClr>
                  </a:gs>
                  <a:gs pos="43000">
                    <a:schemeClr val="tx1">
                      <a:lumMod val="50000"/>
                      <a:lumOff val="50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16200000" scaled="1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CF6-45F6-A8C1-60FB516F6BBE}"/>
              </c:ext>
            </c:extLst>
          </c:dPt>
          <c:dLbls>
            <c:dLbl>
              <c:idx val="0"/>
              <c:layout>
                <c:manualLayout>
                  <c:x val="0.10938276465441819"/>
                  <c:y val="7.47448235637209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F6-45F6-A8C1-60FB516F6BBE}"/>
                </c:ext>
              </c:extLst>
            </c:dLbl>
            <c:dLbl>
              <c:idx val="1"/>
              <c:layout>
                <c:manualLayout>
                  <c:x val="3.7119203849518813E-2"/>
                  <c:y val="-0.2588393117526975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F6-45F6-A8C1-60FB516F6B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(Indicadores!$AH$1,Indicadores!$AI$1)</c:f>
              <c:strCache>
                <c:ptCount val="2"/>
                <c:pt idx="0">
                  <c:v>Cotutelas</c:v>
                </c:pt>
                <c:pt idx="1">
                  <c:v>Sin Cotutela</c:v>
                </c:pt>
              </c:strCache>
            </c:strRef>
          </c:cat>
          <c:val>
            <c:numRef>
              <c:f>(Indicadores!$AH$242,Indicadores!$AI$242)</c:f>
              <c:numCache>
                <c:formatCode>General</c:formatCode>
                <c:ptCount val="2"/>
                <c:pt idx="0">
                  <c:v>79</c:v>
                </c:pt>
                <c:pt idx="1">
                  <c:v>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F6-45F6-A8C1-60FB516F6B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274496937882769"/>
          <c:y val="0.38143445610965293"/>
          <c:w val="0.21392169728783902"/>
          <c:h val="0.271991834354039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600" b="0" i="0" baseline="0">
                <a:effectLst/>
              </a:rPr>
              <a:t>Total alumnos con mención internacional </a:t>
            </a:r>
            <a:endParaRPr lang="es-E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8E080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78-4A8F-BB7D-3C981CC59774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F8F8F8"/>
                  </a:gs>
                  <a:gs pos="0">
                    <a:schemeClr val="bg2">
                      <a:lumMod val="75000"/>
                    </a:schemeClr>
                  </a:gs>
                  <a:gs pos="39000">
                    <a:schemeClr val="tx1">
                      <a:lumMod val="50000"/>
                      <a:lumOff val="50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16200000" scaled="1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78-4A8F-BB7D-3C981CC597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Indicadores!$AM$1:$AN$2</c:f>
              <c:strCache>
                <c:ptCount val="2"/>
                <c:pt idx="0">
                  <c:v>Mención Internacional</c:v>
                </c:pt>
                <c:pt idx="1">
                  <c:v>Sin Mención Internacional</c:v>
                </c:pt>
              </c:strCache>
            </c:strRef>
          </c:cat>
          <c:val>
            <c:numRef>
              <c:f>(Indicadores!$AM$242,Indicadores!$AN$242)</c:f>
              <c:numCache>
                <c:formatCode>General</c:formatCode>
                <c:ptCount val="2"/>
                <c:pt idx="0">
                  <c:v>630</c:v>
                </c:pt>
                <c:pt idx="1">
                  <c:v>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78-4A8F-BB7D-3C981CC5977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574431321084864"/>
          <c:y val="0.42310112277631956"/>
          <c:w val="0.34314457567804024"/>
          <c:h val="0.258102945465150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0" i="0" baseline="0">
                <a:effectLst/>
              </a:rPr>
              <a:t>Total alumnos vinculados a la UGR</a:t>
            </a:r>
            <a:endParaRPr lang="es-E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E0808"/>
            </a:solidFill>
          </c:spPr>
          <c:dPt>
            <c:idx val="0"/>
            <c:bubble3D val="0"/>
            <c:spPr>
              <a:solidFill>
                <a:srgbClr val="8E080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10-4878-BB63-669207313F0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F8F8F8"/>
                  </a:gs>
                  <a:gs pos="0">
                    <a:schemeClr val="bg2">
                      <a:lumMod val="75000"/>
                    </a:schemeClr>
                  </a:gs>
                  <a:gs pos="34000">
                    <a:schemeClr val="tx1">
                      <a:lumMod val="50000"/>
                      <a:lumOff val="50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16200000" scaled="1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10-4878-BB63-669207313F01}"/>
              </c:ext>
            </c:extLst>
          </c:dPt>
          <c:dLbls>
            <c:dLbl>
              <c:idx val="0"/>
              <c:layout>
                <c:manualLayout>
                  <c:x val="2.5769466316710413E-2"/>
                  <c:y val="-6.377223680373307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10-4878-BB63-669207313F01}"/>
                </c:ext>
              </c:extLst>
            </c:dLbl>
            <c:dLbl>
              <c:idx val="1"/>
              <c:layout>
                <c:manualLayout>
                  <c:x val="0.1269403980752406"/>
                  <c:y val="-0.246538349372995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10-4878-BB63-669207313F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(Indicadores!$AL$1,Indicadores!$AL$244)</c:f>
              <c:strCache>
                <c:ptCount val="2"/>
                <c:pt idx="0">
                  <c:v>Vinculación UGR</c:v>
                </c:pt>
                <c:pt idx="1">
                  <c:v>Sin vinculación</c:v>
                </c:pt>
              </c:strCache>
            </c:strRef>
          </c:cat>
          <c:val>
            <c:numRef>
              <c:f>(Indicadores!$AL$242,Indicadores!$AL$243)</c:f>
              <c:numCache>
                <c:formatCode>General</c:formatCode>
                <c:ptCount val="2"/>
                <c:pt idx="0">
                  <c:v>1131</c:v>
                </c:pt>
                <c:pt idx="1">
                  <c:v>-683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10-4878-BB63-669207313F0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17519685039369"/>
          <c:y val="0.38606408573928253"/>
          <c:w val="0.2706025809273841"/>
          <c:h val="0.290510352872557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 b="0" i="0" baseline="0">
                <a:effectLst/>
              </a:rPr>
              <a:t>Porcentaje de alumnos por Escuela de Doctorado</a:t>
            </a:r>
            <a:endParaRPr lang="es-ES" sz="13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rgbClr val="F8F8F8"/>
                  </a:gs>
                  <a:gs pos="0">
                    <a:schemeClr val="accent5">
                      <a:lumMod val="60000"/>
                      <a:lumOff val="40000"/>
                    </a:schemeClr>
                  </a:gs>
                  <a:gs pos="55000">
                    <a:schemeClr val="accent5">
                      <a:lumMod val="75000"/>
                    </a:schemeClr>
                  </a:gs>
                  <a:gs pos="100000">
                    <a:schemeClr val="accent5">
                      <a:lumMod val="50000"/>
                    </a:schemeClr>
                  </a:gs>
                </a:gsLst>
                <a:lin ang="16200000" scaled="1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322-4468-B338-66317598CC2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F8F8F8"/>
                  </a:gs>
                  <a:gs pos="0">
                    <a:schemeClr val="bg2">
                      <a:lumMod val="75000"/>
                    </a:schemeClr>
                  </a:gs>
                  <a:gs pos="55000">
                    <a:schemeClr val="tx1">
                      <a:lumMod val="50000"/>
                      <a:lumOff val="50000"/>
                    </a:schemeClr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16200000" scaled="1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322-4468-B338-66317598CC2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A30909"/>
                  </a:gs>
                  <a:gs pos="0">
                    <a:srgbClr val="C10B0B"/>
                  </a:gs>
                  <a:gs pos="50000">
                    <a:srgbClr val="700606"/>
                  </a:gs>
                  <a:gs pos="100000">
                    <a:srgbClr val="570505"/>
                  </a:gs>
                </a:gsLst>
                <a:lin ang="16200000" scaled="1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322-4468-B338-66317598CC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(Indicadores!$O$3,Indicadores!$O$41,Indicadores!$O$158)</c:f>
              <c:strCache>
                <c:ptCount val="3"/>
                <c:pt idx="0">
                  <c:v>Escuela de Doctorado de Ciencias de la Salud</c:v>
                </c:pt>
                <c:pt idx="1">
                  <c:v>Escuela de Doctorado de Ciencias, Tecnologías e Ingenierías</c:v>
                </c:pt>
                <c:pt idx="2">
                  <c:v>Escuela de Doctorado de Humanidades y Ciencias Sociales y Jurídicas</c:v>
                </c:pt>
              </c:strCache>
            </c:strRef>
          </c:cat>
          <c:val>
            <c:numRef>
              <c:f>(Indicadores!$U$3,Indicadores!$U$41,Indicadores!$U$158)</c:f>
              <c:numCache>
                <c:formatCode>General</c:formatCode>
                <c:ptCount val="3"/>
                <c:pt idx="0">
                  <c:v>444</c:v>
                </c:pt>
                <c:pt idx="1">
                  <c:v>121</c:v>
                </c:pt>
                <c:pt idx="2">
                  <c:v>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22-4468-B338-66317598CC2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652777777777778"/>
          <c:y val="0.27806430446194225"/>
          <c:w val="0.39347222222222222"/>
          <c:h val="0.56826953922426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</a:t>
            </a:r>
            <a:r>
              <a:rPr lang="es-ES" sz="1400" b="0" i="0" u="none" strike="noStrike" baseline="0">
                <a:effectLst/>
              </a:rPr>
              <a:t>alumnos por género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Indicadores!$V$2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chemeClr val="accent5">
                    <a:lumMod val="60000"/>
                    <a:lumOff val="40000"/>
                  </a:schemeClr>
                </a:gs>
                <a:gs pos="56000">
                  <a:schemeClr val="accent5">
                    <a:lumMod val="75000"/>
                  </a:schemeClr>
                </a:gs>
                <a:gs pos="100000">
                  <a:schemeClr val="accent5">
                    <a:lumMod val="5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(Indicadores!$O$158,Indicadores!$O$41,Indicadores!$O$3)</c:f>
              <c:strCache>
                <c:ptCount val="3"/>
                <c:pt idx="0">
                  <c:v>Escuela de Doctorado de Humanidades y Ciencias Sociales y Jurídicas</c:v>
                </c:pt>
                <c:pt idx="1">
                  <c:v>Escuela de Doctorado de Ciencias, Tecnologías e Ingenierías</c:v>
                </c:pt>
                <c:pt idx="2">
                  <c:v>Escuela de Doctorado de Ciencias de la Salud</c:v>
                </c:pt>
              </c:strCache>
            </c:strRef>
          </c:cat>
          <c:val>
            <c:numRef>
              <c:f>(Indicadores!$V$158,Indicadores!$V$41,Indicadores!$V$3)</c:f>
              <c:numCache>
                <c:formatCode>General</c:formatCode>
                <c:ptCount val="3"/>
                <c:pt idx="0">
                  <c:v>291</c:v>
                </c:pt>
                <c:pt idx="1">
                  <c:v>244</c:v>
                </c:pt>
                <c:pt idx="2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0-4858-BA3D-CE15877B9978}"/>
            </c:ext>
          </c:extLst>
        </c:ser>
        <c:ser>
          <c:idx val="1"/>
          <c:order val="1"/>
          <c:tx>
            <c:strRef>
              <c:f>Indicadores!$W$2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C10B0B"/>
                </a:gs>
                <a:gs pos="38000">
                  <a:srgbClr val="8E0808"/>
                </a:gs>
                <a:gs pos="100000">
                  <a:srgbClr val="57050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(Indicadores!$O$158,Indicadores!$O$41,Indicadores!$O$3)</c:f>
              <c:strCache>
                <c:ptCount val="3"/>
                <c:pt idx="0">
                  <c:v>Escuela de Doctorado de Humanidades y Ciencias Sociales y Jurídicas</c:v>
                </c:pt>
                <c:pt idx="1">
                  <c:v>Escuela de Doctorado de Ciencias, Tecnologías e Ingenierías</c:v>
                </c:pt>
                <c:pt idx="2">
                  <c:v>Escuela de Doctorado de Ciencias de la Salud</c:v>
                </c:pt>
              </c:strCache>
            </c:strRef>
          </c:cat>
          <c:val>
            <c:numRef>
              <c:f>(Indicadores!$W$158,Indicadores!$W$41,Indicadores!$W$3)</c:f>
              <c:numCache>
                <c:formatCode>General</c:formatCode>
                <c:ptCount val="3"/>
                <c:pt idx="0">
                  <c:v>315</c:v>
                </c:pt>
                <c:pt idx="1">
                  <c:v>143</c:v>
                </c:pt>
                <c:pt idx="2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50-4858-BA3D-CE15877B99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71308656"/>
        <c:axId val="1171311152"/>
      </c:barChart>
      <c:catAx>
        <c:axId val="1171308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1311152"/>
        <c:crosses val="autoZero"/>
        <c:auto val="1"/>
        <c:lblAlgn val="ctr"/>
        <c:lblOffset val="100"/>
        <c:noMultiLvlLbl val="0"/>
      </c:catAx>
      <c:valAx>
        <c:axId val="1171311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7130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Relación</a:t>
            </a:r>
            <a:r>
              <a:rPr lang="es-ES" baseline="0"/>
              <a:t> de alumnos por curso y Escuela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461157872507313E-2"/>
          <c:y val="0.13467592592592592"/>
          <c:w val="0.91345564563050308"/>
          <c:h val="0.52123323126275878"/>
        </c:manualLayout>
      </c:layout>
      <c:lineChart>
        <c:grouping val="standard"/>
        <c:varyColors val="0"/>
        <c:ser>
          <c:idx val="0"/>
          <c:order val="0"/>
          <c:tx>
            <c:strRef>
              <c:f>Indicadores!$O$3</c:f>
              <c:strCache>
                <c:ptCount val="1"/>
                <c:pt idx="0">
                  <c:v>Escuela de Doctorado de Ciencias de la Salud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>
                <a:outerShdw sx="1000" sy="1000" algn="ctr" rotWithShape="0">
                  <a:srgbClr val="000000"/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Indicadores!$X$3:$AB$3</c:f>
              <c:numCache>
                <c:formatCode>General</c:formatCode>
                <c:ptCount val="5"/>
                <c:pt idx="0">
                  <c:v>105</c:v>
                </c:pt>
                <c:pt idx="1">
                  <c:v>99</c:v>
                </c:pt>
                <c:pt idx="2">
                  <c:v>138</c:v>
                </c:pt>
                <c:pt idx="3">
                  <c:v>102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1-41EE-B2CD-1C328EDF85F4}"/>
            </c:ext>
          </c:extLst>
        </c:ser>
        <c:ser>
          <c:idx val="1"/>
          <c:order val="1"/>
          <c:tx>
            <c:strRef>
              <c:f>Indicadores!$O$41</c:f>
              <c:strCache>
                <c:ptCount val="1"/>
                <c:pt idx="0">
                  <c:v>Escuela de Doctorado de Ciencias, Tecnologías e Ingenierías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Indicadores!$X$41:$AB$41</c:f>
              <c:numCache>
                <c:formatCode>General</c:formatCode>
                <c:ptCount val="5"/>
                <c:pt idx="0">
                  <c:v>88</c:v>
                </c:pt>
                <c:pt idx="1">
                  <c:v>118</c:v>
                </c:pt>
                <c:pt idx="2">
                  <c:v>108</c:v>
                </c:pt>
                <c:pt idx="3">
                  <c:v>73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1-41EE-B2CD-1C328EDF85F4}"/>
            </c:ext>
          </c:extLst>
        </c:ser>
        <c:ser>
          <c:idx val="2"/>
          <c:order val="2"/>
          <c:tx>
            <c:strRef>
              <c:f>Indicadores!$O$158</c:f>
              <c:strCache>
                <c:ptCount val="1"/>
                <c:pt idx="0">
                  <c:v>Escuela de Doctorado de Humanidades y Ciencias Sociales y Jurídicas</c:v>
                </c:pt>
              </c:strCache>
            </c:strRef>
          </c:tx>
          <c:spPr>
            <a:ln w="28575" cap="rnd">
              <a:solidFill>
                <a:srgbClr val="8E0808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8E0808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Indicadores!$X$158:$AB$158</c:f>
              <c:numCache>
                <c:formatCode>General</c:formatCode>
                <c:ptCount val="5"/>
                <c:pt idx="0">
                  <c:v>152</c:v>
                </c:pt>
                <c:pt idx="1">
                  <c:v>144</c:v>
                </c:pt>
                <c:pt idx="2">
                  <c:v>169</c:v>
                </c:pt>
                <c:pt idx="3">
                  <c:v>141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91-41EE-B2CD-1C328EDF85F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44041888"/>
        <c:axId val="1244048128"/>
      </c:lineChart>
      <c:catAx>
        <c:axId val="12440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44048128"/>
        <c:crosses val="autoZero"/>
        <c:auto val="1"/>
        <c:lblAlgn val="ctr"/>
        <c:lblOffset val="100"/>
        <c:noMultiLvlLbl val="0"/>
      </c:catAx>
      <c:valAx>
        <c:axId val="124404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4404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Porcentaje de cotutelas por Escuela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pattFill prst="pct50">
                <a:fgClr>
                  <a:schemeClr val="accent5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190-4623-9C5F-6A1D00703700}"/>
              </c:ext>
            </c:extLst>
          </c:dPt>
          <c:dPt>
            <c:idx val="1"/>
            <c:bubble3D val="0"/>
            <c:spPr>
              <a:pattFill prst="pct5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90-4623-9C5F-6A1D00703700}"/>
              </c:ext>
            </c:extLst>
          </c:dPt>
          <c:dPt>
            <c:idx val="2"/>
            <c:bubble3D val="0"/>
            <c:spPr>
              <a:pattFill prst="pct50">
                <a:fgClr>
                  <a:srgbClr val="C10B0B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190-4623-9C5F-6A1D00703700}"/>
              </c:ext>
            </c:extLst>
          </c:dPt>
          <c:dLbls>
            <c:spPr>
              <a:noFill/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(Indicadores!$O$3,Indicadores!$O$41,Indicadores!$O$158)</c:f>
              <c:strCache>
                <c:ptCount val="3"/>
                <c:pt idx="0">
                  <c:v>Escuela de Doctorado de Ciencias de la Salud</c:v>
                </c:pt>
                <c:pt idx="1">
                  <c:v>Escuela de Doctorado de Ciencias, Tecnologías e Ingenierías</c:v>
                </c:pt>
                <c:pt idx="2">
                  <c:v>Escuela de Doctorado de Humanidades y Ciencias Sociales y Jurídicas</c:v>
                </c:pt>
              </c:strCache>
            </c:strRef>
          </c:cat>
          <c:val>
            <c:numRef>
              <c:f>(Indicadores!$AH$3,Indicadores!$AH$41,Indicadores!$AH$158)</c:f>
              <c:numCache>
                <c:formatCode>General</c:formatCode>
                <c:ptCount val="3"/>
                <c:pt idx="0">
                  <c:v>9</c:v>
                </c:pt>
                <c:pt idx="1">
                  <c:v>34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90-4623-9C5F-6A1D0070370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364720034995624"/>
          <c:y val="0.29679133858267714"/>
          <c:w val="0.29579724409448821"/>
          <c:h val="0.5364632545931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 sz="1600"/>
              <a:t>Número</a:t>
            </a:r>
            <a:r>
              <a:rPr lang="es-ES" sz="1600" baseline="0"/>
              <a:t> alumnos y cotutelas por Escuela </a:t>
            </a:r>
            <a:endParaRPr lang="es-E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(Indicadores!$O$3,Indicadores!$O$41,Indicadores!$O$158)</c:f>
              <c:strCache>
                <c:ptCount val="3"/>
                <c:pt idx="0">
                  <c:v>Escuela de Doctorado de Ciencias de la Salud</c:v>
                </c:pt>
                <c:pt idx="1">
                  <c:v>Escuela de Doctorado de Ciencias, Tecnologías e Ingenierías</c:v>
                </c:pt>
                <c:pt idx="2">
                  <c:v>Escuela de Doctorado de Humanidades y Ciencias Sociales y Jurídicas</c:v>
                </c:pt>
              </c:strCache>
            </c:strRef>
          </c:cat>
          <c:val>
            <c:numRef>
              <c:f>(Indicadores!$U$3,Indicadores!$U$41,Indicadores!$U$158)</c:f>
              <c:numCache>
                <c:formatCode>General</c:formatCode>
                <c:ptCount val="3"/>
                <c:pt idx="0">
                  <c:v>444</c:v>
                </c:pt>
                <c:pt idx="1">
                  <c:v>121</c:v>
                </c:pt>
                <c:pt idx="2">
                  <c:v>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A-4D5D-B2FD-08EE764A9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220640"/>
        <c:axId val="1070218144"/>
      </c:barChart>
      <c:lineChart>
        <c:grouping val="standard"/>
        <c:varyColors val="0"/>
        <c:ser>
          <c:idx val="1"/>
          <c:order val="1"/>
          <c:tx>
            <c:strRef>
              <c:f>Indicadores!$AH$1</c:f>
              <c:strCache>
                <c:ptCount val="1"/>
                <c:pt idx="0">
                  <c:v>Cotutelas</c:v>
                </c:pt>
              </c:strCache>
            </c:strRef>
          </c:tx>
          <c:spPr>
            <a:ln w="38100" cap="rnd">
              <a:solidFill>
                <a:schemeClr val="accent5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(Indicadores!$O$3,Indicadores!$O$41,Indicadores!$O$158)</c:f>
              <c:strCache>
                <c:ptCount val="3"/>
                <c:pt idx="0">
                  <c:v>Escuela de Doctorado de Ciencias de la Salud</c:v>
                </c:pt>
                <c:pt idx="1">
                  <c:v>Escuela de Doctorado de Ciencias, Tecnologías e Ingenierías</c:v>
                </c:pt>
                <c:pt idx="2">
                  <c:v>Escuela de Doctorado de Humanidades y Ciencias Sociales y Jurídicas</c:v>
                </c:pt>
              </c:strCache>
            </c:strRef>
          </c:cat>
          <c:val>
            <c:numRef>
              <c:f>(Indicadores!$AH$3,Indicadores!$AH$41,Indicadores!$AH$158)</c:f>
              <c:numCache>
                <c:formatCode>General</c:formatCode>
                <c:ptCount val="3"/>
                <c:pt idx="0">
                  <c:v>9</c:v>
                </c:pt>
                <c:pt idx="1">
                  <c:v>34</c:v>
                </c:pt>
                <c:pt idx="2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A-4D5D-B2FD-08EE764A9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220640"/>
        <c:axId val="1070218144"/>
      </c:lineChart>
      <c:catAx>
        <c:axId val="107022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70218144"/>
        <c:crosses val="autoZero"/>
        <c:auto val="1"/>
        <c:lblAlgn val="ctr"/>
        <c:lblOffset val="100"/>
        <c:noMultiLvlLbl val="0"/>
      </c:catAx>
      <c:valAx>
        <c:axId val="107021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7022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Menciones internacionales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Indicadores!$O$158</c:f>
              <c:strCache>
                <c:ptCount val="1"/>
                <c:pt idx="0">
                  <c:v>Escuela de Doctorado de Humanidades y Ciencias Sociales y Jurídicas</c:v>
                </c:pt>
              </c:strCache>
            </c:strRef>
          </c:tx>
          <c:spPr>
            <a:gradFill flip="none" rotWithShape="1">
              <a:gsLst>
                <a:gs pos="0">
                  <a:srgbClr val="FFABAB"/>
                </a:gs>
                <a:gs pos="46000">
                  <a:srgbClr val="C10B0B"/>
                </a:gs>
                <a:gs pos="100000">
                  <a:srgbClr val="570505"/>
                </a:gs>
              </a:gsLst>
              <a:path path="circle">
                <a:fillToRect r="100000" b="100000"/>
              </a:path>
              <a:tileRect l="-100000" t="-10000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Indicadores!$AM$1</c:f>
              <c:strCache>
                <c:ptCount val="1"/>
                <c:pt idx="0">
                  <c:v>Mención Internacional</c:v>
                </c:pt>
              </c:strCache>
            </c:strRef>
          </c:cat>
          <c:val>
            <c:numRef>
              <c:f>Indicadores!$AM$158</c:f>
              <c:numCache>
                <c:formatCode>General</c:formatCode>
                <c:ptCount val="1"/>
                <c:pt idx="0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91-4798-8EB9-67FA62E0D67D}"/>
            </c:ext>
          </c:extLst>
        </c:ser>
        <c:ser>
          <c:idx val="1"/>
          <c:order val="1"/>
          <c:tx>
            <c:strRef>
              <c:f>Indicadores!$O$41</c:f>
              <c:strCache>
                <c:ptCount val="1"/>
                <c:pt idx="0">
                  <c:v>Escuela de Doctorado de Ciencias, Tecnologías e Ingenierías</c:v>
                </c:pt>
              </c:strCache>
            </c:strRef>
          </c:tx>
          <c:spPr>
            <a:gradFill>
              <a:gsLst>
                <a:gs pos="0">
                  <a:schemeClr val="bg2">
                    <a:lumMod val="75000"/>
                  </a:schemeClr>
                </a:gs>
                <a:gs pos="54000">
                  <a:schemeClr val="bg2">
                    <a:lumMod val="50000"/>
                  </a:schemeClr>
                </a:gs>
                <a:gs pos="100000">
                  <a:schemeClr val="bg2">
                    <a:lumMod val="50000"/>
                  </a:schemeClr>
                </a:gs>
              </a:gsLst>
              <a:lin ang="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Indicadores!$AM$1</c:f>
              <c:strCache>
                <c:ptCount val="1"/>
                <c:pt idx="0">
                  <c:v>Mención Internacional</c:v>
                </c:pt>
              </c:strCache>
            </c:strRef>
          </c:cat>
          <c:val>
            <c:numRef>
              <c:f>Indicadores!$AM$41</c:f>
              <c:numCache>
                <c:formatCode>General</c:formatCode>
                <c:ptCount val="1"/>
                <c:pt idx="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91-4798-8EB9-67FA62E0D67D}"/>
            </c:ext>
          </c:extLst>
        </c:ser>
        <c:ser>
          <c:idx val="2"/>
          <c:order val="2"/>
          <c:tx>
            <c:strRef>
              <c:f>Indicadores!$O$3</c:f>
              <c:strCache>
                <c:ptCount val="1"/>
                <c:pt idx="0">
                  <c:v>Escuela de Doctorado de Ciencias de la Salud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08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Indicadores!$AM$1</c:f>
              <c:strCache>
                <c:ptCount val="1"/>
                <c:pt idx="0">
                  <c:v>Mención Internacional</c:v>
                </c:pt>
              </c:strCache>
            </c:strRef>
          </c:cat>
          <c:val>
            <c:numRef>
              <c:f>Indicadores!$AM$3</c:f>
              <c:numCache>
                <c:formatCode>General</c:formatCode>
                <c:ptCount val="1"/>
                <c:pt idx="0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91-4798-8EB9-67FA62E0D6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96877456"/>
        <c:axId val="746790000"/>
      </c:barChart>
      <c:catAx>
        <c:axId val="1296877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6790000"/>
        <c:crosses val="autoZero"/>
        <c:auto val="1"/>
        <c:lblAlgn val="ctr"/>
        <c:lblOffset val="100"/>
        <c:noMultiLvlLbl val="0"/>
      </c:catAx>
      <c:valAx>
        <c:axId val="746790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9687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Total alumnos por curso académico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rgbClr val="A30909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 w="19050" cap="flat" cmpd="sng" algn="ctr">
                <a:solidFill>
                  <a:srgbClr val="A30909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Indicadores!$X$242:$AB$242</c:f>
              <c:numCache>
                <c:formatCode>General</c:formatCode>
                <c:ptCount val="5"/>
                <c:pt idx="0">
                  <c:v>345</c:v>
                </c:pt>
                <c:pt idx="1">
                  <c:v>361</c:v>
                </c:pt>
                <c:pt idx="2">
                  <c:v>415</c:v>
                </c:pt>
                <c:pt idx="3">
                  <c:v>316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2-4229-B8B5-ADAFCFB9C3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293684944"/>
        <c:axId val="1293687856"/>
      </c:lineChart>
      <c:catAx>
        <c:axId val="129368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3687856"/>
        <c:crosses val="autoZero"/>
        <c:auto val="1"/>
        <c:lblAlgn val="ctr"/>
        <c:lblOffset val="100"/>
        <c:noMultiLvlLbl val="0"/>
      </c:catAx>
      <c:valAx>
        <c:axId val="1293687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368494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Tesis</a:t>
            </a:r>
            <a:r>
              <a:rPr lang="es-ES" sz="1400" baseline="0"/>
              <a:t> publicadas en Digibug, TESEO y Dialnet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Indicadores!$AQ$1</c:f>
              <c:strCache>
                <c:ptCount val="1"/>
                <c:pt idx="0">
                  <c:v>Tesis en Digibug</c:v>
                </c:pt>
              </c:strCache>
            </c:strRef>
          </c:tx>
          <c:spPr>
            <a:gradFill>
              <a:gsLst>
                <a:gs pos="0">
                  <a:srgbClr val="C10B0B"/>
                </a:gs>
                <a:gs pos="38000">
                  <a:srgbClr val="8E0808"/>
                </a:gs>
                <a:gs pos="100000">
                  <a:srgbClr val="57050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(Indicadores!$O$3,Indicadores!$O$41,Indicadores!$O$158)</c:f>
              <c:strCache>
                <c:ptCount val="3"/>
                <c:pt idx="0">
                  <c:v>Escuela de Doctorado de Ciencias de la Salud</c:v>
                </c:pt>
                <c:pt idx="1">
                  <c:v>Escuela de Doctorado de Ciencias, Tecnologías e Ingenierías</c:v>
                </c:pt>
                <c:pt idx="2">
                  <c:v>Escuela de Doctorado de Humanidades y Ciencias Sociales y Jurídicas</c:v>
                </c:pt>
              </c:strCache>
            </c:strRef>
          </c:cat>
          <c:val>
            <c:numRef>
              <c:f>(Indicadores!$AQ$3,Indicadores!$AQ$41,Indicadores!$AQ$158)</c:f>
              <c:numCache>
                <c:formatCode>General</c:formatCode>
                <c:ptCount val="3"/>
                <c:pt idx="0">
                  <c:v>444</c:v>
                </c:pt>
                <c:pt idx="1">
                  <c:v>387</c:v>
                </c:pt>
                <c:pt idx="2">
                  <c:v>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5-485C-AFD2-0A0AD12BBC59}"/>
            </c:ext>
          </c:extLst>
        </c:ser>
        <c:ser>
          <c:idx val="1"/>
          <c:order val="1"/>
          <c:tx>
            <c:strRef>
              <c:f>Indicadores!$AR$1</c:f>
              <c:strCache>
                <c:ptCount val="1"/>
                <c:pt idx="0">
                  <c:v>Tesis en TESEO</c:v>
                </c:pt>
              </c:strCache>
            </c:strRef>
          </c:tx>
          <c:spPr>
            <a:gradFill>
              <a:gsLst>
                <a:gs pos="0">
                  <a:schemeClr val="accent5">
                    <a:lumMod val="60000"/>
                    <a:lumOff val="40000"/>
                  </a:schemeClr>
                </a:gs>
                <a:gs pos="34000">
                  <a:schemeClr val="accent5">
                    <a:lumMod val="75000"/>
                  </a:schemeClr>
                </a:gs>
                <a:gs pos="100000">
                  <a:schemeClr val="accent5">
                    <a:lumMod val="5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(Indicadores!$O$3,Indicadores!$O$41,Indicadores!$O$158)</c:f>
              <c:strCache>
                <c:ptCount val="3"/>
                <c:pt idx="0">
                  <c:v>Escuela de Doctorado de Ciencias de la Salud</c:v>
                </c:pt>
                <c:pt idx="1">
                  <c:v>Escuela de Doctorado de Ciencias, Tecnologías e Ingenierías</c:v>
                </c:pt>
                <c:pt idx="2">
                  <c:v>Escuela de Doctorado de Humanidades y Ciencias Sociales y Jurídicas</c:v>
                </c:pt>
              </c:strCache>
            </c:strRef>
          </c:cat>
          <c:val>
            <c:numRef>
              <c:f>(Indicadores!$AR$3,Indicadores!$AR$41,Indicadores!$AR$158)</c:f>
              <c:numCache>
                <c:formatCode>General</c:formatCode>
                <c:ptCount val="3"/>
                <c:pt idx="0">
                  <c:v>157</c:v>
                </c:pt>
                <c:pt idx="1">
                  <c:v>142</c:v>
                </c:pt>
                <c:pt idx="2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15-485C-AFD2-0A0AD12BBC59}"/>
            </c:ext>
          </c:extLst>
        </c:ser>
        <c:ser>
          <c:idx val="2"/>
          <c:order val="2"/>
          <c:tx>
            <c:strRef>
              <c:f>Indicadores!$AS$1</c:f>
              <c:strCache>
                <c:ptCount val="1"/>
                <c:pt idx="0">
                  <c:v>Tesis en Dialnet</c:v>
                </c:pt>
              </c:strCache>
            </c:strRef>
          </c:tx>
          <c:spPr>
            <a:gradFill>
              <a:gsLst>
                <a:gs pos="0">
                  <a:schemeClr val="bg2">
                    <a:lumMod val="75000"/>
                  </a:schemeClr>
                </a:gs>
                <a:gs pos="54000">
                  <a:schemeClr val="bg2">
                    <a:lumMod val="50000"/>
                  </a:schemeClr>
                </a:gs>
                <a:gs pos="100000">
                  <a:schemeClr val="tx1">
                    <a:lumMod val="65000"/>
                    <a:lumOff val="35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(Indicadores!$O$3,Indicadores!$O$41,Indicadores!$O$158)</c:f>
              <c:strCache>
                <c:ptCount val="3"/>
                <c:pt idx="0">
                  <c:v>Escuela de Doctorado de Ciencias de la Salud</c:v>
                </c:pt>
                <c:pt idx="1">
                  <c:v>Escuela de Doctorado de Ciencias, Tecnologías e Ingenierías</c:v>
                </c:pt>
                <c:pt idx="2">
                  <c:v>Escuela de Doctorado de Humanidades y Ciencias Sociales y Jurídicas</c:v>
                </c:pt>
              </c:strCache>
            </c:strRef>
          </c:cat>
          <c:val>
            <c:numRef>
              <c:f>(Indicadores!$AS$3,Indicadores!$AS$41,Indicadores!$AS$158)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15-485C-AFD2-0A0AD12BBC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41569120"/>
        <c:axId val="1241569536"/>
      </c:barChart>
      <c:catAx>
        <c:axId val="124156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41569536"/>
        <c:crosses val="autoZero"/>
        <c:auto val="1"/>
        <c:lblAlgn val="ctr"/>
        <c:lblOffset val="100"/>
        <c:noMultiLvlLbl val="0"/>
      </c:catAx>
      <c:valAx>
        <c:axId val="12415695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4156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Porcentaje de publicaciones por Escuela de Doctorado</a:t>
            </a:r>
            <a:endParaRPr lang="es-E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flip="none" rotWithShape="1">
                <a:gsLst>
                  <a:gs pos="0">
                    <a:schemeClr val="accent5">
                      <a:lumMod val="60000"/>
                      <a:lumOff val="40000"/>
                    </a:schemeClr>
                  </a:gs>
                  <a:gs pos="56000">
                    <a:schemeClr val="accent5">
                      <a:lumMod val="75000"/>
                    </a:schemeClr>
                  </a:gs>
                  <a:gs pos="100000">
                    <a:schemeClr val="accent5">
                      <a:lumMod val="50000"/>
                    </a:schemeClr>
                  </a:gs>
                </a:gsLst>
                <a:lin ang="16200000" scaled="1"/>
                <a:tileRect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462-42BE-ABA9-3B229ECD43E8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chemeClr val="accent3">
                      <a:lumMod val="67000"/>
                    </a:schemeClr>
                  </a:gs>
                  <a:gs pos="56000">
                    <a:schemeClr val="accent3">
                      <a:lumMod val="97000"/>
                      <a:lumOff val="3000"/>
                    </a:schemeClr>
                  </a:gs>
                  <a:gs pos="100000">
                    <a:schemeClr val="accent3">
                      <a:lumMod val="60000"/>
                      <a:lumOff val="40000"/>
                    </a:schemeClr>
                  </a:gs>
                </a:gsLst>
                <a:lin ang="5400000" scaled="1"/>
                <a:tileRect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462-42BE-ABA9-3B229ECD43E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A30909"/>
                  </a:gs>
                  <a:gs pos="0">
                    <a:srgbClr val="C10B0B"/>
                  </a:gs>
                  <a:gs pos="50000">
                    <a:srgbClr val="700606"/>
                  </a:gs>
                  <a:gs pos="100000">
                    <a:srgbClr val="570505"/>
                  </a:gs>
                </a:gsLst>
                <a:lin ang="16200000" scaled="1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462-42BE-ABA9-3B229ECD43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(Indicadores!$O$3,Indicadores!$O$41,Indicadores!$O$158)</c:f>
              <c:strCache>
                <c:ptCount val="3"/>
                <c:pt idx="0">
                  <c:v>Escuela de Doctorado de Ciencias de la Salud</c:v>
                </c:pt>
                <c:pt idx="1">
                  <c:v>Escuela de Doctorado de Ciencias, Tecnologías e Ingenierías</c:v>
                </c:pt>
                <c:pt idx="2">
                  <c:v>Escuela de Doctorado de Humanidades y Ciencias Sociales y Jurídicas</c:v>
                </c:pt>
              </c:strCache>
            </c:strRef>
          </c:cat>
          <c:val>
            <c:numRef>
              <c:f>(Indicadores!$AT$3,Indicadores!$AT$41,Indicadores!$AT$158)</c:f>
              <c:numCache>
                <c:formatCode>General</c:formatCode>
                <c:ptCount val="3"/>
                <c:pt idx="0">
                  <c:v>3996</c:v>
                </c:pt>
                <c:pt idx="1">
                  <c:v>2382</c:v>
                </c:pt>
                <c:pt idx="2">
                  <c:v>2194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62-42BE-ABA9-3B229ECD43E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publicaciones</a:t>
            </a:r>
            <a:r>
              <a:rPr lang="es-ES" baseline="0"/>
              <a:t> por </a:t>
            </a:r>
            <a:r>
              <a:rPr lang="es-ES"/>
              <a:t>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Indicadores!$AU$2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chemeClr val="accent5">
                    <a:lumMod val="60000"/>
                    <a:lumOff val="40000"/>
                  </a:schemeClr>
                </a:gs>
                <a:gs pos="56000">
                  <a:schemeClr val="accent5">
                    <a:lumMod val="75000"/>
                  </a:schemeClr>
                </a:gs>
                <a:gs pos="100000">
                  <a:schemeClr val="accent5">
                    <a:lumMod val="5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(Indicadores!$O$158,Indicadores!$O$41,Indicadores!$O$3)</c:f>
              <c:strCache>
                <c:ptCount val="3"/>
                <c:pt idx="0">
                  <c:v>Escuela de Doctorado de Humanidades y Ciencias Sociales y Jurídicas</c:v>
                </c:pt>
                <c:pt idx="1">
                  <c:v>Escuela de Doctorado de Ciencias, Tecnologías e Ingenierías</c:v>
                </c:pt>
                <c:pt idx="2">
                  <c:v>Escuela de Doctorado de Ciencias de la Salud</c:v>
                </c:pt>
              </c:strCache>
            </c:strRef>
          </c:cat>
          <c:val>
            <c:numRef>
              <c:f>(Indicadores!$AU$158,Indicadores!$AU$41,Indicadores!$AU$3)</c:f>
              <c:numCache>
                <c:formatCode>General</c:formatCode>
                <c:ptCount val="3"/>
                <c:pt idx="0">
                  <c:v>1122</c:v>
                </c:pt>
                <c:pt idx="1">
                  <c:v>1376</c:v>
                </c:pt>
                <c:pt idx="2">
                  <c:v>2073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1-4462-B992-2294BF8ADE91}"/>
            </c:ext>
          </c:extLst>
        </c:ser>
        <c:ser>
          <c:idx val="1"/>
          <c:order val="1"/>
          <c:tx>
            <c:strRef>
              <c:f>Indicadores!$AV$2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C10B0B"/>
                </a:gs>
                <a:gs pos="38000">
                  <a:srgbClr val="8E0808"/>
                </a:gs>
                <a:gs pos="100000">
                  <a:srgbClr val="57050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(Indicadores!$O$158,Indicadores!$O$41,Indicadores!$O$3)</c:f>
              <c:strCache>
                <c:ptCount val="3"/>
                <c:pt idx="0">
                  <c:v>Escuela de Doctorado de Humanidades y Ciencias Sociales y Jurídicas</c:v>
                </c:pt>
                <c:pt idx="1">
                  <c:v>Escuela de Doctorado de Ciencias, Tecnologías e Ingenierías</c:v>
                </c:pt>
                <c:pt idx="2">
                  <c:v>Escuela de Doctorado de Ciencias de la Salud</c:v>
                </c:pt>
              </c:strCache>
            </c:strRef>
          </c:cat>
          <c:val>
            <c:numRef>
              <c:f>(Indicadores!$AV$158,Indicadores!$AV$41,Indicadores!$AV$3)</c:f>
              <c:numCache>
                <c:formatCode>General</c:formatCode>
                <c:ptCount val="3"/>
                <c:pt idx="0">
                  <c:v>1072</c:v>
                </c:pt>
                <c:pt idx="1">
                  <c:v>1006</c:v>
                </c:pt>
                <c:pt idx="2">
                  <c:v>1923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51-4462-B992-2294BF8ADE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60335776"/>
        <c:axId val="1360327872"/>
      </c:barChart>
      <c:catAx>
        <c:axId val="1360335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60327872"/>
        <c:crosses val="autoZero"/>
        <c:auto val="1"/>
        <c:lblAlgn val="ctr"/>
        <c:lblOffset val="100"/>
        <c:noMultiLvlLbl val="0"/>
      </c:catAx>
      <c:valAx>
        <c:axId val="1360327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60335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Relación de publicaciones por curso</a:t>
            </a:r>
            <a:r>
              <a:rPr lang="es-ES" baseline="0"/>
              <a:t> y E</a:t>
            </a:r>
            <a:r>
              <a:rPr lang="es-ES"/>
              <a:t>scuela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Indicadores!$O$3</c:f>
              <c:strCache>
                <c:ptCount val="1"/>
                <c:pt idx="0">
                  <c:v>Escuela de Doctorado de Ciencias de la Salud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(Indicadores!$AW$2,Indicadores!$AX$2,Indicadores!$AY$2,Indicadores!$AZ$2,Indicadores!$BA$2)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Indicadores!$AW$3:$BA$3</c:f>
              <c:numCache>
                <c:formatCode>General</c:formatCode>
                <c:ptCount val="5"/>
                <c:pt idx="0">
                  <c:v>1278</c:v>
                </c:pt>
                <c:pt idx="1">
                  <c:v>762</c:v>
                </c:pt>
                <c:pt idx="2">
                  <c:v>1116</c:v>
                </c:pt>
                <c:pt idx="3">
                  <c:v>840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E-4A45-B8B0-ACF2698F775D}"/>
            </c:ext>
          </c:extLst>
        </c:ser>
        <c:ser>
          <c:idx val="1"/>
          <c:order val="1"/>
          <c:tx>
            <c:strRef>
              <c:f>Indicadores!$O$41</c:f>
              <c:strCache>
                <c:ptCount val="1"/>
                <c:pt idx="0">
                  <c:v>Escuela de Doctorado de Ciencias, Tecnologías e Ingenierías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(Indicadores!$AW$2,Indicadores!$AX$2,Indicadores!$AY$2,Indicadores!$AZ$2,Indicadores!$BA$2)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Indicadores!$AW$41:$BA$41</c:f>
              <c:numCache>
                <c:formatCode>General</c:formatCode>
                <c:ptCount val="5"/>
                <c:pt idx="0">
                  <c:v>826</c:v>
                </c:pt>
                <c:pt idx="1">
                  <c:v>590</c:v>
                </c:pt>
                <c:pt idx="2">
                  <c:v>573</c:v>
                </c:pt>
                <c:pt idx="3">
                  <c:v>393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E-4A45-B8B0-ACF2698F775D}"/>
            </c:ext>
          </c:extLst>
        </c:ser>
        <c:ser>
          <c:idx val="2"/>
          <c:order val="2"/>
          <c:tx>
            <c:strRef>
              <c:f>Indicadores!$O$158</c:f>
              <c:strCache>
                <c:ptCount val="1"/>
                <c:pt idx="0">
                  <c:v>Escuela de Doctorado de Humanidades y Ciencias Sociales y Jurídicas</c:v>
                </c:pt>
              </c:strCache>
            </c:strRef>
          </c:tx>
          <c:spPr>
            <a:ln w="28575" cap="rnd">
              <a:solidFill>
                <a:srgbClr val="8E0808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8E0808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(Indicadores!$AW$2,Indicadores!$AX$2,Indicadores!$AY$2,Indicadores!$AZ$2,Indicadores!$BA$2)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Indicadores!$AW$158:$BA$158</c:f>
              <c:numCache>
                <c:formatCode>General</c:formatCode>
                <c:ptCount val="5"/>
                <c:pt idx="0">
                  <c:v>588</c:v>
                </c:pt>
                <c:pt idx="1">
                  <c:v>595</c:v>
                </c:pt>
                <c:pt idx="2">
                  <c:v>497</c:v>
                </c:pt>
                <c:pt idx="3">
                  <c:v>514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EE-4A45-B8B0-ACF2698F775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360325792"/>
        <c:axId val="1360324544"/>
      </c:lineChart>
      <c:catAx>
        <c:axId val="136032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60324544"/>
        <c:crosses val="autoZero"/>
        <c:auto val="1"/>
        <c:lblAlgn val="ctr"/>
        <c:lblOffset val="100"/>
        <c:noMultiLvlLbl val="0"/>
      </c:catAx>
      <c:valAx>
        <c:axId val="136032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6032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Promedio de publicaciones por alumno/Escuela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3562554680664917E-2"/>
          <c:y val="0.17171296296296298"/>
          <c:w val="0.90098600174978127"/>
          <c:h val="0.46567767570720325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Indicadores!$O$158</c:f>
              <c:strCache>
                <c:ptCount val="1"/>
                <c:pt idx="0">
                  <c:v>Escuela de Doctorado de Humanidades y Ciencias Sociales y Jurídicas</c:v>
                </c:pt>
              </c:strCache>
            </c:strRef>
          </c:tx>
          <c:spPr>
            <a:solidFill>
              <a:srgbClr val="8E0808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2222222222222223E-2"/>
                  <c:y val="4.6296296296296294E-3"/>
                </c:manualLayout>
              </c:layout>
              <c:tx>
                <c:rich>
                  <a:bodyPr/>
                  <a:lstStyle/>
                  <a:p>
                    <a:fld id="{83BA1DC8-D2C7-4E7F-B7D9-22F02E4D7619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A7F-4608-871C-05AE54D779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Indicadores!$BG$158</c:f>
              <c:numCache>
                <c:formatCode>0.0</c:formatCode>
                <c:ptCount val="1"/>
                <c:pt idx="0">
                  <c:v>4.8864142538975504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Indicadores!$BG$158</c15:f>
                <c15:dlblRangeCache>
                  <c:ptCount val="1"/>
                  <c:pt idx="0">
                    <c:v>4,9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882-49EF-A3B4-89E094D456BD}"/>
            </c:ext>
          </c:extLst>
        </c:ser>
        <c:ser>
          <c:idx val="1"/>
          <c:order val="1"/>
          <c:tx>
            <c:strRef>
              <c:f>Indicadores!$O$41</c:f>
              <c:strCache>
                <c:ptCount val="1"/>
                <c:pt idx="0">
                  <c:v>Escuela de Doctorado de Ciencias, Tecnologías e Ingenierías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5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56-4FF1-BEE0-68BAF3AE62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Indicadores!$BG$41</c:f>
              <c:numCache>
                <c:formatCode>0.0</c:formatCode>
                <c:ptCount val="1"/>
                <c:pt idx="0">
                  <c:v>7.659163987138264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82-49EF-A3B4-89E094D456BD}"/>
            </c:ext>
          </c:extLst>
        </c:ser>
        <c:ser>
          <c:idx val="2"/>
          <c:order val="2"/>
          <c:tx>
            <c:strRef>
              <c:f>Indicadores!$O$3</c:f>
              <c:strCache>
                <c:ptCount val="1"/>
                <c:pt idx="0">
                  <c:v>Escuela de Doctorado de Ciencias de la Salud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4999999999999897E-2"/>
                  <c:y val="2.7777777777777735E-2"/>
                </c:manualLayout>
              </c:layout>
              <c:tx>
                <c:rich>
                  <a:bodyPr/>
                  <a:lstStyle/>
                  <a:p>
                    <a:fld id="{3F9A441B-55EE-46E5-9835-3019F727B644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A7F-4608-871C-05AE54D779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Indicadores!$BG$3</c:f>
              <c:numCache>
                <c:formatCode>0.0</c:formatCode>
                <c:ptCount val="1"/>
                <c:pt idx="0">
                  <c:v>10.090909090909092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Indicadores!$BG$3</c15:f>
                <c15:dlblRangeCache>
                  <c:ptCount val="1"/>
                  <c:pt idx="0">
                    <c:v>10,1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A882-49EF-A3B4-89E094D456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60301888"/>
        <c:axId val="1160302304"/>
        <c:axId val="0"/>
      </c:bar3DChart>
      <c:catAx>
        <c:axId val="1160301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60302304"/>
        <c:crosses val="autoZero"/>
        <c:auto val="1"/>
        <c:lblAlgn val="ctr"/>
        <c:lblOffset val="100"/>
        <c:noMultiLvlLbl val="0"/>
      </c:catAx>
      <c:valAx>
        <c:axId val="116030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030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Promedio de publicaciones por Escuela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Indicadores!$O$158</c:f>
              <c:strCache>
                <c:ptCount val="1"/>
                <c:pt idx="0">
                  <c:v>Escuela de Doctorado de Humanidades y Ciencias Sociales y Jurídicas</c:v>
                </c:pt>
              </c:strCache>
            </c:strRef>
          </c:tx>
          <c:spPr>
            <a:solidFill>
              <a:srgbClr val="8E0808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8E0808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AE5-45B3-A47A-2FC4C47866C7}"/>
              </c:ext>
            </c:extLst>
          </c:dPt>
          <c:dLbls>
            <c:dLbl>
              <c:idx val="0"/>
              <c:layout>
                <c:manualLayout>
                  <c:x val="1.6666666666666614E-2"/>
                  <c:y val="-8.4875562720133283E-17"/>
                </c:manualLayout>
              </c:layout>
              <c:tx>
                <c:rich>
                  <a:bodyPr/>
                  <a:lstStyle/>
                  <a:p>
                    <a:fld id="{5BFA3690-C7F3-4B66-9A17-C01D23F1DDCD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AE5-45B3-A47A-2FC4C47866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Indicadores!$BM$158</c:f>
              <c:numCache>
                <c:formatCode>0.0</c:formatCode>
                <c:ptCount val="1"/>
                <c:pt idx="0">
                  <c:v>223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(Indicadores!$BM$158,Indicadores!$BM$41,Indicadores!$BM$3)</c15:f>
                <c15:dlblRangeCache>
                  <c:ptCount val="3"/>
                  <c:pt idx="0">
                    <c:v>223,0</c:v>
                  </c:pt>
                  <c:pt idx="1">
                    <c:v>238,2</c:v>
                  </c:pt>
                  <c:pt idx="2">
                    <c:v>666,0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3D6B-40C3-812A-270E4E9DE82F}"/>
            </c:ext>
          </c:extLst>
        </c:ser>
        <c:ser>
          <c:idx val="1"/>
          <c:order val="1"/>
          <c:tx>
            <c:strRef>
              <c:f>Indicadores!$O$41</c:f>
              <c:strCache>
                <c:ptCount val="1"/>
                <c:pt idx="0">
                  <c:v>Escuela de Doctorado de Ciencias, Tecnologías e Ingenierías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94444444444444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EB-4413-8EF1-CF3DDD369E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Indicadores!$BM$41</c:f>
              <c:numCache>
                <c:formatCode>0.0</c:formatCode>
                <c:ptCount val="1"/>
                <c:pt idx="0">
                  <c:v>238.2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6B-40C3-812A-270E4E9DE82F}"/>
            </c:ext>
          </c:extLst>
        </c:ser>
        <c:ser>
          <c:idx val="2"/>
          <c:order val="2"/>
          <c:tx>
            <c:strRef>
              <c:f>Indicadores!$O$3</c:f>
              <c:strCache>
                <c:ptCount val="1"/>
                <c:pt idx="0">
                  <c:v>Escuela de Doctorado de Ciencias de la Salud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2222222222222223E-2"/>
                  <c:y val="4.1666666666666623E-2"/>
                </c:manualLayout>
              </c:layout>
              <c:tx>
                <c:rich>
                  <a:bodyPr/>
                  <a:lstStyle/>
                  <a:p>
                    <a:fld id="{66701837-5996-4FA7-81F1-4416F878DDD0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D6B-40C3-812A-270E4E9DE8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Indicadores!$BM$3</c:f>
              <c:numCache>
                <c:formatCode>0.0</c:formatCode>
                <c:ptCount val="1"/>
                <c:pt idx="0">
                  <c:v>666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Indicadores!$BM$3</c15:f>
                <c15:dlblRangeCache>
                  <c:ptCount val="1"/>
                  <c:pt idx="0">
                    <c:v>666,0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3D6B-40C3-812A-270E4E9DE8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43986944"/>
        <c:axId val="1243987360"/>
        <c:axId val="0"/>
      </c:bar3DChart>
      <c:catAx>
        <c:axId val="1243986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43987360"/>
        <c:crosses val="autoZero"/>
        <c:auto val="1"/>
        <c:lblAlgn val="ctr"/>
        <c:lblOffset val="100"/>
        <c:noMultiLvlLbl val="0"/>
      </c:catAx>
      <c:valAx>
        <c:axId val="1243987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4398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Alumnos vinculados a la UGR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Indicadores!$O$158</c:f>
              <c:strCache>
                <c:ptCount val="1"/>
                <c:pt idx="0">
                  <c:v>Escuela de Doctorado de Humanidades y Ciencias Sociales y Jurídicas</c:v>
                </c:pt>
              </c:strCache>
            </c:strRef>
          </c:tx>
          <c:spPr>
            <a:gradFill flip="none" rotWithShape="1">
              <a:gsLst>
                <a:gs pos="0">
                  <a:srgbClr val="FFABAB"/>
                </a:gs>
                <a:gs pos="46000">
                  <a:srgbClr val="C10B0B"/>
                </a:gs>
                <a:gs pos="100000">
                  <a:srgbClr val="570505"/>
                </a:gs>
              </a:gsLst>
              <a:path path="circle">
                <a:fillToRect r="100000" b="100000"/>
              </a:path>
              <a:tileRect l="-100000" t="-10000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Indicadores!$AL$1</c:f>
              <c:strCache>
                <c:ptCount val="1"/>
                <c:pt idx="0">
                  <c:v>Vinculación UGR</c:v>
                </c:pt>
              </c:strCache>
            </c:strRef>
          </c:cat>
          <c:val>
            <c:numRef>
              <c:f>Indicadores!$AL$158</c:f>
              <c:numCache>
                <c:formatCode>General</c:formatCode>
                <c:ptCount val="1"/>
                <c:pt idx="0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3-4842-8741-99EB391135BB}"/>
            </c:ext>
          </c:extLst>
        </c:ser>
        <c:ser>
          <c:idx val="1"/>
          <c:order val="1"/>
          <c:tx>
            <c:strRef>
              <c:f>Indicadores!$O$41</c:f>
              <c:strCache>
                <c:ptCount val="1"/>
                <c:pt idx="0">
                  <c:v>Escuela de Doctorado de Ciencias, Tecnologías e Ingenierías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67000"/>
                  </a:schemeClr>
                </a:gs>
                <a:gs pos="74000">
                  <a:schemeClr val="accent3">
                    <a:lumMod val="97000"/>
                    <a:lumOff val="3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08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Indicadores!$AL$1</c:f>
              <c:strCache>
                <c:ptCount val="1"/>
                <c:pt idx="0">
                  <c:v>Vinculación UGR</c:v>
                </c:pt>
              </c:strCache>
            </c:strRef>
          </c:cat>
          <c:val>
            <c:numRef>
              <c:f>Indicadores!$AL$41</c:f>
              <c:numCache>
                <c:formatCode>General</c:formatCode>
                <c:ptCount val="1"/>
                <c:pt idx="0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D3-4842-8741-99EB391135BB}"/>
            </c:ext>
          </c:extLst>
        </c:ser>
        <c:ser>
          <c:idx val="2"/>
          <c:order val="2"/>
          <c:tx>
            <c:strRef>
              <c:f>Indicadores!$O$3</c:f>
              <c:strCache>
                <c:ptCount val="1"/>
                <c:pt idx="0">
                  <c:v>Escuela de Doctorado de Ciencias de la Salud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65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08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Indicadores!$AL$1</c:f>
              <c:strCache>
                <c:ptCount val="1"/>
                <c:pt idx="0">
                  <c:v>Vinculación UGR</c:v>
                </c:pt>
              </c:strCache>
            </c:strRef>
          </c:cat>
          <c:val>
            <c:numRef>
              <c:f>Indicadores!$AL$3</c:f>
              <c:numCache>
                <c:formatCode>General</c:formatCode>
                <c:ptCount val="1"/>
                <c:pt idx="0">
                  <c:v>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D3-4842-8741-99EB391135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69201407"/>
        <c:axId val="1169214303"/>
      </c:barChart>
      <c:catAx>
        <c:axId val="11692014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9214303"/>
        <c:crosses val="autoZero"/>
        <c:auto val="1"/>
        <c:lblAlgn val="ctr"/>
        <c:lblOffset val="100"/>
        <c:noMultiLvlLbl val="0"/>
      </c:catAx>
      <c:valAx>
        <c:axId val="116921430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69201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300"/>
              <a:t>Promedio de publicaciones por alumno y Escuela</a:t>
            </a:r>
          </a:p>
        </c:rich>
      </c:tx>
      <c:layout>
        <c:manualLayout>
          <c:xMode val="edge"/>
          <c:yMode val="edge"/>
          <c:x val="0.1485693350831146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Indicadores!$O$3</c:f>
              <c:strCache>
                <c:ptCount val="1"/>
                <c:pt idx="0">
                  <c:v>Escuela de Doctorado de Ciencias de la Salud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bg1"/>
              </a:solidFill>
              <a:ln w="19050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cat>
            <c:numRef>
              <c:f>Indicadores!$BH$2:$BL$2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Indicadores!$BH$3:$BL$3</c:f>
              <c:numCache>
                <c:formatCode>0.0</c:formatCode>
                <c:ptCount val="5"/>
                <c:pt idx="0">
                  <c:v>13.891304347826088</c:v>
                </c:pt>
                <c:pt idx="1">
                  <c:v>8.8604651162790695</c:v>
                </c:pt>
                <c:pt idx="2">
                  <c:v>9</c:v>
                </c:pt>
                <c:pt idx="3">
                  <c:v>8.9361702127659566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8-4F23-900C-B134508B5F3B}"/>
            </c:ext>
          </c:extLst>
        </c:ser>
        <c:ser>
          <c:idx val="1"/>
          <c:order val="1"/>
          <c:tx>
            <c:strRef>
              <c:f>Indicadores!$O$41</c:f>
              <c:strCache>
                <c:ptCount val="1"/>
                <c:pt idx="0">
                  <c:v>Escuela de Doctorado de Ciencias, Tecnologías e Ingenierías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square"/>
            <c:size val="9"/>
            <c:spPr>
              <a:solidFill>
                <a:schemeClr val="bg1"/>
              </a:solidFill>
              <a:ln w="1905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Indicadores!$BH$2:$BL$2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Indicadores!$BH$41:$BL$41</c:f>
              <c:numCache>
                <c:formatCode>0.0</c:formatCode>
                <c:ptCount val="5"/>
                <c:pt idx="0">
                  <c:v>0</c:v>
                </c:pt>
                <c:pt idx="1">
                  <c:v>6.5555555555555554</c:v>
                </c:pt>
                <c:pt idx="2">
                  <c:v>6.3666666666666663</c:v>
                </c:pt>
                <c:pt idx="3">
                  <c:v>6.2380952380952381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8-4F23-900C-B134508B5F3B}"/>
            </c:ext>
          </c:extLst>
        </c:ser>
        <c:ser>
          <c:idx val="2"/>
          <c:order val="2"/>
          <c:tx>
            <c:strRef>
              <c:f>Indicadores!$O$158</c:f>
              <c:strCache>
                <c:ptCount val="1"/>
                <c:pt idx="0">
                  <c:v>Escuela de Doctorado de Humanidades y Ciencias Sociales y Jurídicas</c:v>
                </c:pt>
              </c:strCache>
            </c:strRef>
          </c:tx>
          <c:spPr>
            <a:ln w="28575" cap="rnd">
              <a:solidFill>
                <a:srgbClr val="8E0808"/>
              </a:solidFill>
              <a:round/>
            </a:ln>
            <a:effectLst/>
          </c:spPr>
          <c:marker>
            <c:symbol val="diamond"/>
            <c:size val="11"/>
            <c:spPr>
              <a:solidFill>
                <a:schemeClr val="bg1"/>
              </a:solidFill>
              <a:ln w="19050">
                <a:solidFill>
                  <a:srgbClr val="8E0808"/>
                </a:solidFill>
              </a:ln>
              <a:effectLst/>
            </c:spPr>
          </c:marker>
          <c:cat>
            <c:numRef>
              <c:f>Indicadores!$BH$2:$BL$2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Indicadores!$BH$158:$BL$158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4.1416666666666666</c:v>
                </c:pt>
                <c:pt idx="3">
                  <c:v>4.9423076923076925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C8-4F23-900C-B134508B5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116799"/>
        <c:axId val="1019118463"/>
      </c:lineChart>
      <c:catAx>
        <c:axId val="1019116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9118463"/>
        <c:crosses val="autoZero"/>
        <c:auto val="1"/>
        <c:lblAlgn val="ctr"/>
        <c:lblOffset val="100"/>
        <c:noMultiLvlLbl val="0"/>
      </c:catAx>
      <c:valAx>
        <c:axId val="1019118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9116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Promedio de publicaciones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Indicadores!$O$3</c:f>
              <c:strCache>
                <c:ptCount val="1"/>
                <c:pt idx="0">
                  <c:v>Escuela de Doctorado de Ciencias de la Salud</c:v>
                </c:pt>
              </c:strCache>
            </c:strRef>
          </c:tx>
          <c:spPr>
            <a:ln w="2222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bg1"/>
              </a:solidFill>
              <a:ln w="22225">
                <a:solidFill>
                  <a:schemeClr val="accent5">
                    <a:lumMod val="75000"/>
                  </a:schemeClr>
                </a:solidFill>
                <a:round/>
              </a:ln>
              <a:effectLst/>
            </c:spPr>
          </c:marker>
          <c:cat>
            <c:numRef>
              <c:f>Indicadores!$BN$2:$BR$2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Indicadores!$BN$3:$BR$3</c:f>
              <c:numCache>
                <c:formatCode>0.0</c:formatCode>
                <c:ptCount val="5"/>
                <c:pt idx="0">
                  <c:v>213</c:v>
                </c:pt>
                <c:pt idx="1">
                  <c:v>127</c:v>
                </c:pt>
                <c:pt idx="2">
                  <c:v>186</c:v>
                </c:pt>
                <c:pt idx="3">
                  <c:v>140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4-4B1F-909E-136C7E57D607}"/>
            </c:ext>
          </c:extLst>
        </c:ser>
        <c:ser>
          <c:idx val="1"/>
          <c:order val="1"/>
          <c:tx>
            <c:strRef>
              <c:f>Indicadores!$O$41</c:f>
              <c:strCache>
                <c:ptCount val="1"/>
                <c:pt idx="0">
                  <c:v>Escuela de Doctorado de Ciencias, Tecnologías e Ingenierías</c:v>
                </c:pt>
              </c:strCache>
            </c:strRef>
          </c:tx>
          <c:spPr>
            <a:ln w="2222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square"/>
            <c:size val="9"/>
            <c:spPr>
              <a:solidFill>
                <a:schemeClr val="bg1"/>
              </a:solidFill>
              <a:ln w="19050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/>
            </c:spPr>
          </c:marker>
          <c:cat>
            <c:numRef>
              <c:f>Indicadores!$BN$2:$BR$2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Indicadores!$BN$41:$BR$41</c:f>
              <c:numCache>
                <c:formatCode>0.0</c:formatCode>
                <c:ptCount val="5"/>
                <c:pt idx="0">
                  <c:v>0</c:v>
                </c:pt>
                <c:pt idx="1">
                  <c:v>59</c:v>
                </c:pt>
                <c:pt idx="2">
                  <c:v>57.3</c:v>
                </c:pt>
                <c:pt idx="3">
                  <c:v>39.299999999999997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4-4B1F-909E-136C7E57D607}"/>
            </c:ext>
          </c:extLst>
        </c:ser>
        <c:ser>
          <c:idx val="2"/>
          <c:order val="2"/>
          <c:tx>
            <c:strRef>
              <c:f>Indicadores!$O$158</c:f>
              <c:strCache>
                <c:ptCount val="1"/>
                <c:pt idx="0">
                  <c:v>Escuela de Doctorado de Humanidades y Ciencias Sociales y Jurídicas</c:v>
                </c:pt>
              </c:strCache>
            </c:strRef>
          </c:tx>
          <c:spPr>
            <a:ln w="22225" cap="rnd">
              <a:solidFill>
                <a:srgbClr val="8E0808"/>
              </a:solidFill>
              <a:round/>
            </a:ln>
            <a:effectLst/>
          </c:spPr>
          <c:marker>
            <c:symbol val="diamond"/>
            <c:size val="11"/>
            <c:spPr>
              <a:solidFill>
                <a:schemeClr val="bg1"/>
              </a:solidFill>
              <a:ln w="19050">
                <a:solidFill>
                  <a:srgbClr val="8E0808"/>
                </a:solidFill>
                <a:round/>
              </a:ln>
              <a:effectLst/>
            </c:spPr>
          </c:marker>
          <c:cat>
            <c:numRef>
              <c:f>Indicadores!$BN$2:$BR$2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Indicadores!$BN$158:$BR$158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50.428571428571431</c:v>
                </c:pt>
                <c:pt idx="3">
                  <c:v>57.142857142857146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94-4B1F-909E-136C7E57D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526207"/>
        <c:axId val="1204528287"/>
      </c:lineChart>
      <c:catAx>
        <c:axId val="1204526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04528287"/>
        <c:crosses val="autoZero"/>
        <c:auto val="1"/>
        <c:lblAlgn val="ctr"/>
        <c:lblOffset val="100"/>
        <c:noMultiLvlLbl val="0"/>
      </c:catAx>
      <c:valAx>
        <c:axId val="1204528287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0452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Relación publicaciones/alumnos por Escuela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Indicadores!$AO$1</c:f>
              <c:strCache>
                <c:ptCount val="1"/>
                <c:pt idx="0">
                  <c:v>Publicaciones MI</c:v>
                </c:pt>
              </c:strCache>
            </c:strRef>
          </c:tx>
          <c:spPr>
            <a:solidFill>
              <a:srgbClr val="E49C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(Indicadores!$O$3,Indicadores!$O$41,Indicadores!$O$158)</c:f>
              <c:strCache>
                <c:ptCount val="3"/>
                <c:pt idx="0">
                  <c:v>Escuela de Doctorado de Ciencias de la Salud</c:v>
                </c:pt>
                <c:pt idx="1">
                  <c:v>Escuela de Doctorado de Ciencias, Tecnologías e Ingenierías</c:v>
                </c:pt>
                <c:pt idx="2">
                  <c:v>Escuela de Doctorado de Humanidades y Ciencias Sociales y Jurídicas</c:v>
                </c:pt>
              </c:strCache>
            </c:strRef>
          </c:cat>
          <c:val>
            <c:numRef>
              <c:f>(Indicadores!$AO$3,Indicadores!$AO$41,Indicadores!$AO$158)</c:f>
              <c:numCache>
                <c:formatCode>General</c:formatCode>
                <c:ptCount val="3"/>
                <c:pt idx="0">
                  <c:v>2316</c:v>
                </c:pt>
                <c:pt idx="1">
                  <c:v>1462</c:v>
                </c:pt>
                <c:pt idx="2">
                  <c:v>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4-43BA-86E4-8859F905A7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42897840"/>
        <c:axId val="1342893264"/>
      </c:barChart>
      <c:lineChart>
        <c:grouping val="standard"/>
        <c:varyColors val="0"/>
        <c:ser>
          <c:idx val="1"/>
          <c:order val="1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spPr>
            <a:ln w="28575" cap="rnd">
              <a:solidFill>
                <a:srgbClr val="A7256F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A7256F"/>
              </a:solidFill>
              <a:ln w="12700" cap="flat" cmpd="sng" algn="ctr">
                <a:noFill/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(Indicadores!$O$3,Indicadores!$O$41,Indicadores!$O$158)</c:f>
              <c:strCache>
                <c:ptCount val="3"/>
                <c:pt idx="0">
                  <c:v>Escuela de Doctorado de Ciencias de la Salud</c:v>
                </c:pt>
                <c:pt idx="1">
                  <c:v>Escuela de Doctorado de Ciencias, Tecnologías e Ingenierías</c:v>
                </c:pt>
                <c:pt idx="2">
                  <c:v>Escuela de Doctorado de Humanidades y Ciencias Sociales y Jurídicas</c:v>
                </c:pt>
              </c:strCache>
            </c:strRef>
          </c:cat>
          <c:val>
            <c:numRef>
              <c:f>(Indicadores!$U$3,Indicadores!$U$41,Indicadores!$U$158)</c:f>
              <c:numCache>
                <c:formatCode>General</c:formatCode>
                <c:ptCount val="3"/>
                <c:pt idx="0">
                  <c:v>444</c:v>
                </c:pt>
                <c:pt idx="1">
                  <c:v>121</c:v>
                </c:pt>
                <c:pt idx="2">
                  <c:v>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4-43BA-86E4-8859F905A7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42897840"/>
        <c:axId val="1342893264"/>
      </c:lineChart>
      <c:catAx>
        <c:axId val="134289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42893264"/>
        <c:crosses val="autoZero"/>
        <c:auto val="1"/>
        <c:lblAlgn val="ctr"/>
        <c:lblOffset val="100"/>
        <c:noMultiLvlLbl val="0"/>
      </c:catAx>
      <c:valAx>
        <c:axId val="13428932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4289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Total publicaciones por cuso académico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Indicadores!$AW$2:$BA$2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Indicadores!$AW$242:$BA$242</c:f>
              <c:numCache>
                <c:formatCode>General</c:formatCode>
                <c:ptCount val="5"/>
                <c:pt idx="0">
                  <c:v>2692</c:v>
                </c:pt>
                <c:pt idx="1">
                  <c:v>1947</c:v>
                </c:pt>
                <c:pt idx="2">
                  <c:v>2186</c:v>
                </c:pt>
                <c:pt idx="3">
                  <c:v>1747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2-4FAC-887A-D10DAA4FB4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291929984"/>
        <c:axId val="1291930400"/>
      </c:lineChart>
      <c:catAx>
        <c:axId val="129192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1930400"/>
        <c:crosses val="autoZero"/>
        <c:auto val="1"/>
        <c:lblAlgn val="ctr"/>
        <c:lblOffset val="100"/>
        <c:noMultiLvlLbl val="0"/>
      </c:catAx>
      <c:valAx>
        <c:axId val="1291930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192998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 cap="none" baseline="0"/>
              <a:t>Número alumnos por programa de la Escuela de Doctorado de Ciencias de la Salud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Indicadores!$O$3</c:f>
              <c:strCache>
                <c:ptCount val="1"/>
                <c:pt idx="0">
                  <c:v>Escuela de Doctorado de Ciencias de la Salud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(Indicadores!$O$4,Indicadores!$O$13,Indicadores!$O$17,Indicadores!$O$22,Indicadores!$O$31,Indicadores!$O$35)</c:f>
              <c:strCache>
                <c:ptCount val="6"/>
                <c:pt idx="0">
                  <c:v>Programa de Doctorado en Biomedicina</c:v>
                </c:pt>
                <c:pt idx="1">
                  <c:v>Programa de Doctorado en Bioquímica y Biología Molecular</c:v>
                </c:pt>
                <c:pt idx="2">
                  <c:v>Programa de Doctorado en Farmacia</c:v>
                </c:pt>
                <c:pt idx="3">
                  <c:v>Programa de Doctorado en Medicina Clínica y Salud Pública</c:v>
                </c:pt>
                <c:pt idx="4">
                  <c:v>Programa de Doctorado en Nutrición y Ciencias de los Alimentos</c:v>
                </c:pt>
                <c:pt idx="5">
                  <c:v>Programa de Doctorado en Psicología</c:v>
                </c:pt>
              </c:strCache>
            </c:strRef>
          </c:cat>
          <c:val>
            <c:numRef>
              <c:f>(Indicadores!$U$4,Indicadores!$U$13,Indicadores!$U$17,Indicadores!$U$22,Indicadores!$U$31,Indicadores!$U$35)</c:f>
              <c:numCache>
                <c:formatCode>General</c:formatCode>
                <c:ptCount val="6"/>
                <c:pt idx="0">
                  <c:v>144</c:v>
                </c:pt>
                <c:pt idx="1">
                  <c:v>17</c:v>
                </c:pt>
                <c:pt idx="2">
                  <c:v>47</c:v>
                </c:pt>
                <c:pt idx="3">
                  <c:v>134</c:v>
                </c:pt>
                <c:pt idx="4">
                  <c:v>29</c:v>
                </c:pt>
                <c:pt idx="5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30-4334-A5BF-E407D6EEBF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40518320"/>
        <c:axId val="1240503760"/>
      </c:barChart>
      <c:catAx>
        <c:axId val="124051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40503760"/>
        <c:crosses val="autoZero"/>
        <c:auto val="1"/>
        <c:lblAlgn val="ctr"/>
        <c:lblOffset val="100"/>
        <c:noMultiLvlLbl val="0"/>
      </c:catAx>
      <c:valAx>
        <c:axId val="12405037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4051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</a:t>
            </a:r>
            <a:r>
              <a:rPr lang="es-ES" baseline="0"/>
              <a:t> de a</a:t>
            </a:r>
            <a:r>
              <a:rPr lang="es-ES"/>
              <a:t>lumnos</a:t>
            </a:r>
            <a:r>
              <a:rPr lang="es-ES" baseline="0"/>
              <a:t> por género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Indicadores!$V$2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chemeClr val="accent5">
                    <a:lumMod val="60000"/>
                    <a:lumOff val="40000"/>
                  </a:schemeClr>
                </a:gs>
                <a:gs pos="56000">
                  <a:schemeClr val="accent5">
                    <a:lumMod val="75000"/>
                  </a:schemeClr>
                </a:gs>
                <a:gs pos="100000">
                  <a:schemeClr val="accent5">
                    <a:lumMod val="5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(Indicadores!$O$35,Indicadores!$O$31,Indicadores!$O$22,Indicadores!$O$17,Indicadores!$O$13,Indicadores!$O$4)</c:f>
              <c:strCache>
                <c:ptCount val="6"/>
                <c:pt idx="0">
                  <c:v>Programa de Doctorado en Psicología</c:v>
                </c:pt>
                <c:pt idx="1">
                  <c:v>Programa de Doctorado en Nutrición y Ciencias de los Alimentos</c:v>
                </c:pt>
                <c:pt idx="2">
                  <c:v>Programa de Doctorado en Medicina Clínica y Salud Pública</c:v>
                </c:pt>
                <c:pt idx="3">
                  <c:v>Programa de Doctorado en Farmacia</c:v>
                </c:pt>
                <c:pt idx="4">
                  <c:v>Programa de Doctorado en Bioquímica y Biología Molecular</c:v>
                </c:pt>
                <c:pt idx="5">
                  <c:v>Programa de Doctorado en Biomedicina</c:v>
                </c:pt>
              </c:strCache>
            </c:strRef>
          </c:cat>
          <c:val>
            <c:numRef>
              <c:f>(Indicadores!$V$35,Indicadores!$V$31,Indicadores!$V$22,Indicadores!$V$17,Indicadores!$V$13,Indicadores!$V$4)</c:f>
              <c:numCache>
                <c:formatCode>General</c:formatCode>
                <c:ptCount val="6"/>
                <c:pt idx="0">
                  <c:v>24</c:v>
                </c:pt>
                <c:pt idx="1">
                  <c:v>11</c:v>
                </c:pt>
                <c:pt idx="2">
                  <c:v>52</c:v>
                </c:pt>
                <c:pt idx="3">
                  <c:v>14</c:v>
                </c:pt>
                <c:pt idx="4">
                  <c:v>4</c:v>
                </c:pt>
                <c:pt idx="5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7-4C13-A630-8F5AB276C6B8}"/>
            </c:ext>
          </c:extLst>
        </c:ser>
        <c:ser>
          <c:idx val="1"/>
          <c:order val="1"/>
          <c:tx>
            <c:strRef>
              <c:f>Indicadores!$W$2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C10B0B"/>
                </a:gs>
                <a:gs pos="54000">
                  <a:srgbClr val="8E0808"/>
                </a:gs>
                <a:gs pos="100000">
                  <a:srgbClr val="57050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(Indicadores!$O$35,Indicadores!$O$31,Indicadores!$O$22,Indicadores!$O$17,Indicadores!$O$13,Indicadores!$O$4)</c:f>
              <c:strCache>
                <c:ptCount val="6"/>
                <c:pt idx="0">
                  <c:v>Programa de Doctorado en Psicología</c:v>
                </c:pt>
                <c:pt idx="1">
                  <c:v>Programa de Doctorado en Nutrición y Ciencias de los Alimentos</c:v>
                </c:pt>
                <c:pt idx="2">
                  <c:v>Programa de Doctorado en Medicina Clínica y Salud Pública</c:v>
                </c:pt>
                <c:pt idx="3">
                  <c:v>Programa de Doctorado en Farmacia</c:v>
                </c:pt>
                <c:pt idx="4">
                  <c:v>Programa de Doctorado en Bioquímica y Biología Molecular</c:v>
                </c:pt>
                <c:pt idx="5">
                  <c:v>Programa de Doctorado en Biomedicina</c:v>
                </c:pt>
              </c:strCache>
            </c:strRef>
          </c:cat>
          <c:val>
            <c:numRef>
              <c:f>(Indicadores!$W$35,Indicadores!$W$31,Indicadores!$W$22,Indicadores!$W$17,Indicadores!$W$13,Indicadores!$W$4)</c:f>
              <c:numCache>
                <c:formatCode>General</c:formatCode>
                <c:ptCount val="6"/>
                <c:pt idx="0">
                  <c:v>49</c:v>
                </c:pt>
                <c:pt idx="1">
                  <c:v>18</c:v>
                </c:pt>
                <c:pt idx="2">
                  <c:v>82</c:v>
                </c:pt>
                <c:pt idx="3">
                  <c:v>33</c:v>
                </c:pt>
                <c:pt idx="4">
                  <c:v>13</c:v>
                </c:pt>
                <c:pt idx="5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27-4C13-A630-8F5AB276C6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24080431"/>
        <c:axId val="1124068367"/>
      </c:barChart>
      <c:catAx>
        <c:axId val="11240804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24068367"/>
        <c:crosses val="autoZero"/>
        <c:auto val="1"/>
        <c:lblAlgn val="ctr"/>
        <c:lblOffset val="100"/>
        <c:noMultiLvlLbl val="0"/>
      </c:catAx>
      <c:valAx>
        <c:axId val="11240683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24080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 cap="none" baseline="0"/>
              <a:t>Número publicaciones por programa de la Escuela de Doctorado de Ciencias de la Salud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(Indicadores!$O$4,Indicadores!$O$13,Indicadores!$O$17,Indicadores!$O$22,Indicadores!$O$31,Indicadores!$O$35)</c:f>
              <c:strCache>
                <c:ptCount val="6"/>
                <c:pt idx="0">
                  <c:v>Programa de Doctorado en Biomedicina</c:v>
                </c:pt>
                <c:pt idx="1">
                  <c:v>Programa de Doctorado en Bioquímica y Biología Molecular</c:v>
                </c:pt>
                <c:pt idx="2">
                  <c:v>Programa de Doctorado en Farmacia</c:v>
                </c:pt>
                <c:pt idx="3">
                  <c:v>Programa de Doctorado en Medicina Clínica y Salud Pública</c:v>
                </c:pt>
                <c:pt idx="4">
                  <c:v>Programa de Doctorado en Nutrición y Ciencias de los Alimentos</c:v>
                </c:pt>
                <c:pt idx="5">
                  <c:v>Programa de Doctorado en Psicología</c:v>
                </c:pt>
              </c:strCache>
            </c:strRef>
          </c:cat>
          <c:val>
            <c:numRef>
              <c:f>(Indicadores!$AT$4,Indicadores!$AT$13,Indicadores!$AT$17,Indicadores!$AT$22,Indicadores!$AT$31,Indicadores!$AT$35)</c:f>
              <c:numCache>
                <c:formatCode>General</c:formatCode>
                <c:ptCount val="6"/>
                <c:pt idx="0">
                  <c:v>1587</c:v>
                </c:pt>
                <c:pt idx="1">
                  <c:v>86</c:v>
                </c:pt>
                <c:pt idx="2">
                  <c:v>328</c:v>
                </c:pt>
                <c:pt idx="3">
                  <c:v>1324</c:v>
                </c:pt>
                <c:pt idx="4">
                  <c:v>222</c:v>
                </c:pt>
                <c:pt idx="5">
                  <c:v>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5-4985-8EB9-3B2F5387E3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73353056"/>
        <c:axId val="1173352640"/>
      </c:barChart>
      <c:catAx>
        <c:axId val="11733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3352640"/>
        <c:crosses val="autoZero"/>
        <c:auto val="1"/>
        <c:lblAlgn val="ctr"/>
        <c:lblOffset val="100"/>
        <c:noMultiLvlLbl val="0"/>
      </c:catAx>
      <c:valAx>
        <c:axId val="11733526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335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</a:t>
            </a:r>
            <a:r>
              <a:rPr lang="es-ES" baseline="0"/>
              <a:t> de publicaciones por género del alumno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Indicadores!$AU$2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chemeClr val="accent5">
                    <a:lumMod val="60000"/>
                    <a:lumOff val="40000"/>
                  </a:schemeClr>
                </a:gs>
                <a:gs pos="56000">
                  <a:schemeClr val="accent5">
                    <a:lumMod val="75000"/>
                  </a:schemeClr>
                </a:gs>
                <a:gs pos="100000">
                  <a:schemeClr val="accent5">
                    <a:lumMod val="5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(Indicadores!$O$35,Indicadores!$O$31,Indicadores!$O$22,Indicadores!$O$17,Indicadores!$O$13,Indicadores!$O$4)</c:f>
              <c:strCache>
                <c:ptCount val="6"/>
                <c:pt idx="0">
                  <c:v>Programa de Doctorado en Psicología</c:v>
                </c:pt>
                <c:pt idx="1">
                  <c:v>Programa de Doctorado en Nutrición y Ciencias de los Alimentos</c:v>
                </c:pt>
                <c:pt idx="2">
                  <c:v>Programa de Doctorado en Medicina Clínica y Salud Pública</c:v>
                </c:pt>
                <c:pt idx="3">
                  <c:v>Programa de Doctorado en Farmacia</c:v>
                </c:pt>
                <c:pt idx="4">
                  <c:v>Programa de Doctorado en Bioquímica y Biología Molecular</c:v>
                </c:pt>
                <c:pt idx="5">
                  <c:v>Programa de Doctorado en Biomedicina</c:v>
                </c:pt>
              </c:strCache>
            </c:strRef>
          </c:cat>
          <c:val>
            <c:numRef>
              <c:f>(Indicadores!$AU$35,Indicadores!$AU$31,Indicadores!$AU$22,Indicadores!$AU$17,Indicadores!$AU$13,Indicadores!$AU$4)</c:f>
              <c:numCache>
                <c:formatCode>General</c:formatCode>
                <c:ptCount val="6"/>
                <c:pt idx="0">
                  <c:v>148</c:v>
                </c:pt>
                <c:pt idx="1">
                  <c:v>109</c:v>
                </c:pt>
                <c:pt idx="2">
                  <c:v>623</c:v>
                </c:pt>
                <c:pt idx="3">
                  <c:v>110</c:v>
                </c:pt>
                <c:pt idx="4">
                  <c:v>24</c:v>
                </c:pt>
                <c:pt idx="5">
                  <c:v>1059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0-464A-ACCD-B0B46C5EF25C}"/>
            </c:ext>
          </c:extLst>
        </c:ser>
        <c:ser>
          <c:idx val="1"/>
          <c:order val="1"/>
          <c:tx>
            <c:strRef>
              <c:f>Indicadores!$AV$2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C10B0B"/>
                </a:gs>
                <a:gs pos="54000">
                  <a:srgbClr val="8E0808"/>
                </a:gs>
                <a:gs pos="100000">
                  <a:srgbClr val="57050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(Indicadores!$O$35,Indicadores!$O$31,Indicadores!$O$22,Indicadores!$O$17,Indicadores!$O$13,Indicadores!$O$4)</c:f>
              <c:strCache>
                <c:ptCount val="6"/>
                <c:pt idx="0">
                  <c:v>Programa de Doctorado en Psicología</c:v>
                </c:pt>
                <c:pt idx="1">
                  <c:v>Programa de Doctorado en Nutrición y Ciencias de los Alimentos</c:v>
                </c:pt>
                <c:pt idx="2">
                  <c:v>Programa de Doctorado en Medicina Clínica y Salud Pública</c:v>
                </c:pt>
                <c:pt idx="3">
                  <c:v>Programa de Doctorado en Farmacia</c:v>
                </c:pt>
                <c:pt idx="4">
                  <c:v>Programa de Doctorado en Bioquímica y Biología Molecular</c:v>
                </c:pt>
                <c:pt idx="5">
                  <c:v>Programa de Doctorado en Biomedicina</c:v>
                </c:pt>
              </c:strCache>
            </c:strRef>
          </c:cat>
          <c:val>
            <c:numRef>
              <c:f>(Indicadores!$AV$35,Indicadores!$AV$31,Indicadores!$AV$22,Indicadores!$AV$17,Indicadores!$AV$13,Indicadores!$AV$4)</c:f>
              <c:numCache>
                <c:formatCode>General</c:formatCode>
                <c:ptCount val="6"/>
                <c:pt idx="0">
                  <c:v>301</c:v>
                </c:pt>
                <c:pt idx="1">
                  <c:v>113</c:v>
                </c:pt>
                <c:pt idx="2">
                  <c:v>701</c:v>
                </c:pt>
                <c:pt idx="3">
                  <c:v>218</c:v>
                </c:pt>
                <c:pt idx="4">
                  <c:v>62</c:v>
                </c:pt>
                <c:pt idx="5">
                  <c:v>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0-464A-ACCD-B0B46C5EF2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69224287"/>
        <c:axId val="1169219711"/>
      </c:barChart>
      <c:catAx>
        <c:axId val="11692242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9219711"/>
        <c:crosses val="autoZero"/>
        <c:auto val="1"/>
        <c:lblAlgn val="ctr"/>
        <c:lblOffset val="100"/>
        <c:noMultiLvlLbl val="0"/>
      </c:catAx>
      <c:valAx>
        <c:axId val="116921971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69224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Relación de alumnos</a:t>
            </a:r>
            <a:r>
              <a:rPr lang="es-ES" baseline="0"/>
              <a:t> por curso académico y Programa de Doctorado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Indicadores!$O$4</c:f>
              <c:strCache>
                <c:ptCount val="1"/>
                <c:pt idx="0">
                  <c:v>Programa de Doctorado en Biomedicina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Indicadores!$X$4:$AB$4</c:f>
              <c:numCache>
                <c:formatCode>General</c:formatCode>
                <c:ptCount val="5"/>
                <c:pt idx="0">
                  <c:v>30</c:v>
                </c:pt>
                <c:pt idx="1">
                  <c:v>31</c:v>
                </c:pt>
                <c:pt idx="2">
                  <c:v>48</c:v>
                </c:pt>
                <c:pt idx="3">
                  <c:v>35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E-4494-8986-3057F9DF323D}"/>
            </c:ext>
          </c:extLst>
        </c:ser>
        <c:ser>
          <c:idx val="1"/>
          <c:order val="1"/>
          <c:tx>
            <c:strRef>
              <c:f>Indicadores!$O$13</c:f>
              <c:strCache>
                <c:ptCount val="1"/>
                <c:pt idx="0">
                  <c:v>Programa de Doctorado en Bioquímica y Biología Molecular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Indicadores!$X$13:$AB$13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E-4494-8986-3057F9DF323D}"/>
            </c:ext>
          </c:extLst>
        </c:ser>
        <c:ser>
          <c:idx val="2"/>
          <c:order val="2"/>
          <c:tx>
            <c:strRef>
              <c:f>Indicadores!$O$17</c:f>
              <c:strCache>
                <c:ptCount val="1"/>
                <c:pt idx="0">
                  <c:v>Programa de Doctorado en Farmacia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Indicadores!$X$17:$AB$17</c:f>
              <c:numCache>
                <c:formatCode>General</c:formatCode>
                <c:ptCount val="5"/>
                <c:pt idx="0">
                  <c:v>14</c:v>
                </c:pt>
                <c:pt idx="1">
                  <c:v>7</c:v>
                </c:pt>
                <c:pt idx="2">
                  <c:v>15</c:v>
                </c:pt>
                <c:pt idx="3">
                  <c:v>11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E-4494-8986-3057F9DF323D}"/>
            </c:ext>
          </c:extLst>
        </c:ser>
        <c:ser>
          <c:idx val="3"/>
          <c:order val="3"/>
          <c:tx>
            <c:strRef>
              <c:f>Indicadores!$O$22</c:f>
              <c:strCache>
                <c:ptCount val="1"/>
                <c:pt idx="0">
                  <c:v>Programa de Doctorado en Medicina Clínica y Salud Pública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Indicadores!$X$22:$AB$22</c:f>
              <c:numCache>
                <c:formatCode>General</c:formatCode>
                <c:ptCount val="5"/>
                <c:pt idx="0">
                  <c:v>29</c:v>
                </c:pt>
                <c:pt idx="1">
                  <c:v>28</c:v>
                </c:pt>
                <c:pt idx="2">
                  <c:v>46</c:v>
                </c:pt>
                <c:pt idx="3">
                  <c:v>31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EE-4494-8986-3057F9DF323D}"/>
            </c:ext>
          </c:extLst>
        </c:ser>
        <c:ser>
          <c:idx val="4"/>
          <c:order val="4"/>
          <c:tx>
            <c:strRef>
              <c:f>Indicadores!$O$31</c:f>
              <c:strCache>
                <c:ptCount val="1"/>
                <c:pt idx="0">
                  <c:v>Programa de Doctorado en Nutrición y Ciencias de los Alimentos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Indicadores!$X$31:$AB$31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EE-4494-8986-3057F9DF323D}"/>
            </c:ext>
          </c:extLst>
        </c:ser>
        <c:ser>
          <c:idx val="5"/>
          <c:order val="5"/>
          <c:tx>
            <c:strRef>
              <c:f>Indicadores!$O$35</c:f>
              <c:strCache>
                <c:ptCount val="1"/>
                <c:pt idx="0">
                  <c:v>Programa de Doctorado en Psicología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Indicadores!$X$35:$AB$35</c:f>
              <c:numCache>
                <c:formatCode>General</c:formatCode>
                <c:ptCount val="5"/>
                <c:pt idx="0">
                  <c:v>21</c:v>
                </c:pt>
                <c:pt idx="1">
                  <c:v>21</c:v>
                </c:pt>
                <c:pt idx="2">
                  <c:v>18</c:v>
                </c:pt>
                <c:pt idx="3">
                  <c:v>13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EE-4494-8986-3057F9DF32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04527871"/>
        <c:axId val="1204525375"/>
      </c:lineChart>
      <c:catAx>
        <c:axId val="120452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04525375"/>
        <c:crosses val="autoZero"/>
        <c:auto val="1"/>
        <c:lblAlgn val="ctr"/>
        <c:lblOffset val="100"/>
        <c:noMultiLvlLbl val="0"/>
      </c:catAx>
      <c:valAx>
        <c:axId val="1204525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04527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Relación de publicaciones por curso</a:t>
            </a:r>
            <a:r>
              <a:rPr lang="es-ES" baseline="0"/>
              <a:t> académico y Programa de Doctorado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Indicadores!$O$4</c:f>
              <c:strCache>
                <c:ptCount val="1"/>
                <c:pt idx="0">
                  <c:v>Programa de Doctorado en Biomedicina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Indicadores!$AW$4:$BA$4</c:f>
              <c:numCache>
                <c:formatCode>General</c:formatCode>
                <c:ptCount val="5"/>
                <c:pt idx="0">
                  <c:v>474</c:v>
                </c:pt>
                <c:pt idx="1">
                  <c:v>322</c:v>
                </c:pt>
                <c:pt idx="2">
                  <c:v>504</c:v>
                </c:pt>
                <c:pt idx="3">
                  <c:v>287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6-4730-96E3-1FC1DE853C62}"/>
            </c:ext>
          </c:extLst>
        </c:ser>
        <c:ser>
          <c:idx val="1"/>
          <c:order val="1"/>
          <c:tx>
            <c:strRef>
              <c:f>Indicadores!$O$13</c:f>
              <c:strCache>
                <c:ptCount val="1"/>
                <c:pt idx="0">
                  <c:v>Programa de Doctorado en Bioquímica y Biología Molecular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Indicadores!$AW$13:$BA$13</c:f>
              <c:numCache>
                <c:formatCode>General</c:formatCode>
                <c:ptCount val="5"/>
                <c:pt idx="0">
                  <c:v>26</c:v>
                </c:pt>
                <c:pt idx="1">
                  <c:v>24</c:v>
                </c:pt>
                <c:pt idx="2">
                  <c:v>26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6-4730-96E3-1FC1DE853C62}"/>
            </c:ext>
          </c:extLst>
        </c:ser>
        <c:ser>
          <c:idx val="2"/>
          <c:order val="2"/>
          <c:tx>
            <c:strRef>
              <c:f>Indicadores!$O$17</c:f>
              <c:strCache>
                <c:ptCount val="1"/>
                <c:pt idx="0">
                  <c:v>Programa de Doctorado en Farmacia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Indicadores!$AW$17:$BA$17</c:f>
              <c:numCache>
                <c:formatCode>General</c:formatCode>
                <c:ptCount val="5"/>
                <c:pt idx="0">
                  <c:v>163</c:v>
                </c:pt>
                <c:pt idx="1">
                  <c:v>46</c:v>
                </c:pt>
                <c:pt idx="2">
                  <c:v>82</c:v>
                </c:pt>
                <c:pt idx="3">
                  <c:v>37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26-4730-96E3-1FC1DE853C62}"/>
            </c:ext>
          </c:extLst>
        </c:ser>
        <c:ser>
          <c:idx val="3"/>
          <c:order val="3"/>
          <c:tx>
            <c:strRef>
              <c:f>Indicadores!$O$22</c:f>
              <c:strCache>
                <c:ptCount val="1"/>
                <c:pt idx="0">
                  <c:v>Programa de Doctorado en Medicina Clínica y Salud Pública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Indicadores!$AW$22:$BA$22</c:f>
              <c:numCache>
                <c:formatCode>General</c:formatCode>
                <c:ptCount val="5"/>
                <c:pt idx="0">
                  <c:v>367</c:v>
                </c:pt>
                <c:pt idx="1">
                  <c:v>200</c:v>
                </c:pt>
                <c:pt idx="2">
                  <c:v>373</c:v>
                </c:pt>
                <c:pt idx="3">
                  <c:v>384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26-4730-96E3-1FC1DE853C62}"/>
            </c:ext>
          </c:extLst>
        </c:ser>
        <c:ser>
          <c:idx val="4"/>
          <c:order val="4"/>
          <c:tx>
            <c:strRef>
              <c:f>Indicadores!$O$31</c:f>
              <c:strCache>
                <c:ptCount val="1"/>
                <c:pt idx="0">
                  <c:v>Programa de Doctorado en Nutrición y Ciencias de los Alimentos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Indicadores!$AW$31:$BA$31</c:f>
              <c:numCache>
                <c:formatCode>General</c:formatCode>
                <c:ptCount val="5"/>
                <c:pt idx="0">
                  <c:v>75</c:v>
                </c:pt>
                <c:pt idx="1">
                  <c:v>31</c:v>
                </c:pt>
                <c:pt idx="2">
                  <c:v>41</c:v>
                </c:pt>
                <c:pt idx="3">
                  <c:v>75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B26-4730-96E3-1FC1DE853C62}"/>
            </c:ext>
          </c:extLst>
        </c:ser>
        <c:ser>
          <c:idx val="5"/>
          <c:order val="5"/>
          <c:tx>
            <c:strRef>
              <c:f>Indicadores!$O$35</c:f>
              <c:strCache>
                <c:ptCount val="1"/>
                <c:pt idx="0">
                  <c:v>Programa de Doctorado en Psicología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Indicadores!$AW$35:$BA$35</c:f>
              <c:numCache>
                <c:formatCode>General</c:formatCode>
                <c:ptCount val="5"/>
                <c:pt idx="0">
                  <c:v>173</c:v>
                </c:pt>
                <c:pt idx="1">
                  <c:v>139</c:v>
                </c:pt>
                <c:pt idx="2">
                  <c:v>90</c:v>
                </c:pt>
                <c:pt idx="3">
                  <c:v>47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26-4730-96E3-1FC1DE853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4073359"/>
        <c:axId val="1124070447"/>
      </c:lineChart>
      <c:catAx>
        <c:axId val="112407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24070447"/>
        <c:crosses val="autoZero"/>
        <c:auto val="1"/>
        <c:lblAlgn val="ctr"/>
        <c:lblOffset val="100"/>
        <c:noMultiLvlLbl val="0"/>
      </c:catAx>
      <c:valAx>
        <c:axId val="1124070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24073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Cotutelas por Programa</a:t>
            </a:r>
            <a:r>
              <a:rPr lang="es-ES" baseline="0"/>
              <a:t> de Doctorado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25400" cap="flat" cmpd="sng" algn="ctr">
                <a:solidFill>
                  <a:schemeClr val="accent5">
                    <a:lumMod val="75000"/>
                  </a:schemeClr>
                </a:solidFill>
                <a:round/>
              </a:ln>
              <a:effectLst/>
            </c:spPr>
          </c:marker>
          <c:cat>
            <c:strRef>
              <c:f>(Indicadores!$O$4,Indicadores!$O$13,Indicadores!$O$17,Indicadores!$O$22,Indicadores!$O$31,Indicadores!$O$35)</c:f>
              <c:strCache>
                <c:ptCount val="6"/>
                <c:pt idx="0">
                  <c:v>Programa de Doctorado en Biomedicina</c:v>
                </c:pt>
                <c:pt idx="1">
                  <c:v>Programa de Doctorado en Bioquímica y Biología Molecular</c:v>
                </c:pt>
                <c:pt idx="2">
                  <c:v>Programa de Doctorado en Farmacia</c:v>
                </c:pt>
                <c:pt idx="3">
                  <c:v>Programa de Doctorado en Medicina Clínica y Salud Pública</c:v>
                </c:pt>
                <c:pt idx="4">
                  <c:v>Programa de Doctorado en Nutrición y Ciencias de los Alimentos</c:v>
                </c:pt>
                <c:pt idx="5">
                  <c:v>Programa de Doctorado en Psicología</c:v>
                </c:pt>
              </c:strCache>
            </c:strRef>
          </c:cat>
          <c:val>
            <c:numRef>
              <c:f>(Indicadores!$AH$4,Indicadores!$AH$13,Indicadores!$AH$17,Indicadores!$AH$22,Indicadores!$AH$31,Indicadores!$AH$35)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1-4D5D-A11E-7B62F890D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24098735"/>
        <c:axId val="1124109551"/>
      </c:lineChart>
      <c:catAx>
        <c:axId val="1124098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24109551"/>
        <c:crosses val="autoZero"/>
        <c:auto val="1"/>
        <c:lblAlgn val="ctr"/>
        <c:lblOffset val="100"/>
        <c:noMultiLvlLbl val="0"/>
      </c:catAx>
      <c:valAx>
        <c:axId val="112410955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Número de cOTUTELAS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24098735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Alumnos</a:t>
            </a:r>
            <a:r>
              <a:rPr lang="es-ES" baseline="0"/>
              <a:t> vinculados a la UGR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(Indicadores!$O$35,Indicadores!$O$31,Indicadores!$O$22,Indicadores!$O$17,Indicadores!$O$13,Indicadores!$O$4)</c:f>
              <c:strCache>
                <c:ptCount val="6"/>
                <c:pt idx="0">
                  <c:v>Programa de Doctorado en Psicología</c:v>
                </c:pt>
                <c:pt idx="1">
                  <c:v>Programa de Doctorado en Nutrición y Ciencias de los Alimentos</c:v>
                </c:pt>
                <c:pt idx="2">
                  <c:v>Programa de Doctorado en Medicina Clínica y Salud Pública</c:v>
                </c:pt>
                <c:pt idx="3">
                  <c:v>Programa de Doctorado en Farmacia</c:v>
                </c:pt>
                <c:pt idx="4">
                  <c:v>Programa de Doctorado en Bioquímica y Biología Molecular</c:v>
                </c:pt>
                <c:pt idx="5">
                  <c:v>Programa de Doctorado en Biomedicina</c:v>
                </c:pt>
              </c:strCache>
            </c:strRef>
          </c:cat>
          <c:val>
            <c:numRef>
              <c:f>(Indicadores!$AL$35,Indicadores!$AL$31,Indicadores!$AL$22,Indicadores!$AL$17,Indicadores!$AL$13,Indicadores!$AL$4)</c:f>
              <c:numCache>
                <c:formatCode>General</c:formatCode>
                <c:ptCount val="6"/>
                <c:pt idx="0">
                  <c:v>61</c:v>
                </c:pt>
                <c:pt idx="1">
                  <c:v>26</c:v>
                </c:pt>
                <c:pt idx="2">
                  <c:v>121</c:v>
                </c:pt>
                <c:pt idx="3">
                  <c:v>44</c:v>
                </c:pt>
                <c:pt idx="4">
                  <c:v>14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D-4DC0-A3BC-76A77C444A4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69218047"/>
        <c:axId val="1169221791"/>
      </c:barChart>
      <c:catAx>
        <c:axId val="11692180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9221791"/>
        <c:crosses val="autoZero"/>
        <c:auto val="1"/>
        <c:lblAlgn val="ctr"/>
        <c:lblOffset val="100"/>
        <c:noMultiLvlLbl val="0"/>
      </c:catAx>
      <c:valAx>
        <c:axId val="116922179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69218047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Alumnos</a:t>
            </a:r>
            <a:r>
              <a:rPr lang="es-ES" baseline="0"/>
              <a:t> con mención internacional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(Indicadores!$O$35,Indicadores!$O$31,Indicadores!$O$22,Indicadores!$O$17,Indicadores!$O$13,Indicadores!$O$4)</c:f>
              <c:strCache>
                <c:ptCount val="6"/>
                <c:pt idx="0">
                  <c:v>Programa de Doctorado en Psicología</c:v>
                </c:pt>
                <c:pt idx="1">
                  <c:v>Programa de Doctorado en Nutrición y Ciencias de los Alimentos</c:v>
                </c:pt>
                <c:pt idx="2">
                  <c:v>Programa de Doctorado en Medicina Clínica y Salud Pública</c:v>
                </c:pt>
                <c:pt idx="3">
                  <c:v>Programa de Doctorado en Farmacia</c:v>
                </c:pt>
                <c:pt idx="4">
                  <c:v>Programa de Doctorado en Bioquímica y Biología Molecular</c:v>
                </c:pt>
                <c:pt idx="5">
                  <c:v>Programa de Doctorado en Biomedicina</c:v>
                </c:pt>
              </c:strCache>
            </c:strRef>
          </c:cat>
          <c:val>
            <c:numRef>
              <c:f>(Indicadores!$AM$35,Indicadores!$AM$31,Indicadores!$AM$22,Indicadores!$AM$17,Indicadores!$AM$13,Indicadores!$AM$4)</c:f>
              <c:numCache>
                <c:formatCode>General</c:formatCode>
                <c:ptCount val="6"/>
                <c:pt idx="0">
                  <c:v>53</c:v>
                </c:pt>
                <c:pt idx="1">
                  <c:v>9</c:v>
                </c:pt>
                <c:pt idx="2">
                  <c:v>38</c:v>
                </c:pt>
                <c:pt idx="3">
                  <c:v>12</c:v>
                </c:pt>
                <c:pt idx="4">
                  <c:v>6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7-4CD6-AE0D-275F3D78A2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24121199"/>
        <c:axId val="1124076687"/>
      </c:barChart>
      <c:catAx>
        <c:axId val="11241211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24076687"/>
        <c:crosses val="autoZero"/>
        <c:auto val="1"/>
        <c:lblAlgn val="ctr"/>
        <c:lblOffset val="100"/>
        <c:noMultiLvlLbl val="0"/>
      </c:catAx>
      <c:valAx>
        <c:axId val="112407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24121199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Tesis publicadas en Digibug, TESEO y</a:t>
            </a:r>
            <a:r>
              <a:rPr lang="es-ES" baseline="0"/>
              <a:t> Dialnet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Indicadores!$AQ$1</c:f>
              <c:strCache>
                <c:ptCount val="1"/>
                <c:pt idx="0">
                  <c:v>Tesis en Digibug</c:v>
                </c:pt>
              </c:strCache>
            </c:strRef>
          </c:tx>
          <c:spPr>
            <a:gradFill>
              <a:gsLst>
                <a:gs pos="0">
                  <a:srgbClr val="C10B0B"/>
                </a:gs>
                <a:gs pos="54000">
                  <a:srgbClr val="8E0808"/>
                </a:gs>
                <a:gs pos="100000">
                  <a:srgbClr val="57050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(Indicadores!$O$4,Indicadores!$O$13,Indicadores!$O$17,Indicadores!$O$22,Indicadores!$O$31,Indicadores!$O$35)</c:f>
              <c:strCache>
                <c:ptCount val="6"/>
                <c:pt idx="0">
                  <c:v>Programa de Doctorado en Biomedicina</c:v>
                </c:pt>
                <c:pt idx="1">
                  <c:v>Programa de Doctorado en Bioquímica y Biología Molecular</c:v>
                </c:pt>
                <c:pt idx="2">
                  <c:v>Programa de Doctorado en Farmacia</c:v>
                </c:pt>
                <c:pt idx="3">
                  <c:v>Programa de Doctorado en Medicina Clínica y Salud Pública</c:v>
                </c:pt>
                <c:pt idx="4">
                  <c:v>Programa de Doctorado en Nutrición y Ciencias de los Alimentos</c:v>
                </c:pt>
                <c:pt idx="5">
                  <c:v>Programa de Doctorado en Psicología</c:v>
                </c:pt>
              </c:strCache>
            </c:strRef>
          </c:cat>
          <c:val>
            <c:numRef>
              <c:f>(Indicadores!$AQ$4,Indicadores!$AQ$13,Indicadores!$AQ$17,Indicadores!$AQ$22,Indicadores!$AQ$31,Indicadores!$AQ$35)</c:f>
              <c:numCache>
                <c:formatCode>General</c:formatCode>
                <c:ptCount val="6"/>
                <c:pt idx="0">
                  <c:v>144</c:v>
                </c:pt>
                <c:pt idx="1">
                  <c:v>17</c:v>
                </c:pt>
                <c:pt idx="2">
                  <c:v>47</c:v>
                </c:pt>
                <c:pt idx="3">
                  <c:v>134</c:v>
                </c:pt>
                <c:pt idx="4">
                  <c:v>29</c:v>
                </c:pt>
                <c:pt idx="5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3-4564-82EE-2CDB4E443D36}"/>
            </c:ext>
          </c:extLst>
        </c:ser>
        <c:ser>
          <c:idx val="1"/>
          <c:order val="1"/>
          <c:tx>
            <c:strRef>
              <c:f>Indicadores!$AR$1</c:f>
              <c:strCache>
                <c:ptCount val="1"/>
                <c:pt idx="0">
                  <c:v>Tesis en TESEO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65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(Indicadores!$O$4,Indicadores!$O$13,Indicadores!$O$17,Indicadores!$O$22,Indicadores!$O$31,Indicadores!$O$35)</c:f>
              <c:strCache>
                <c:ptCount val="6"/>
                <c:pt idx="0">
                  <c:v>Programa de Doctorado en Biomedicina</c:v>
                </c:pt>
                <c:pt idx="1">
                  <c:v>Programa de Doctorado en Bioquímica y Biología Molecular</c:v>
                </c:pt>
                <c:pt idx="2">
                  <c:v>Programa de Doctorado en Farmacia</c:v>
                </c:pt>
                <c:pt idx="3">
                  <c:v>Programa de Doctorado en Medicina Clínica y Salud Pública</c:v>
                </c:pt>
                <c:pt idx="4">
                  <c:v>Programa de Doctorado en Nutrición y Ciencias de los Alimentos</c:v>
                </c:pt>
                <c:pt idx="5">
                  <c:v>Programa de Doctorado en Psicología</c:v>
                </c:pt>
              </c:strCache>
            </c:strRef>
          </c:cat>
          <c:val>
            <c:numRef>
              <c:f>(Indicadores!$AR$4,Indicadores!$AR$13,Indicadores!$AR$17,Indicadores!$AR$22,Indicadores!$AR$31,Indicadores!$AR$35)</c:f>
              <c:numCache>
                <c:formatCode>General</c:formatCode>
                <c:ptCount val="6"/>
                <c:pt idx="0">
                  <c:v>51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10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D3-4564-82EE-2CDB4E443D36}"/>
            </c:ext>
          </c:extLst>
        </c:ser>
        <c:ser>
          <c:idx val="2"/>
          <c:order val="2"/>
          <c:tx>
            <c:strRef>
              <c:f>Indicadores!$AS$1</c:f>
              <c:strCache>
                <c:ptCount val="1"/>
                <c:pt idx="0">
                  <c:v>Tesis en Dialnet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67000"/>
                  </a:schemeClr>
                </a:gs>
                <a:gs pos="79000">
                  <a:schemeClr val="accent3">
                    <a:lumMod val="97000"/>
                    <a:lumOff val="3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(Indicadores!$O$4,Indicadores!$O$13,Indicadores!$O$17,Indicadores!$O$22,Indicadores!$O$31,Indicadores!$O$35)</c:f>
              <c:strCache>
                <c:ptCount val="6"/>
                <c:pt idx="0">
                  <c:v>Programa de Doctorado en Biomedicina</c:v>
                </c:pt>
                <c:pt idx="1">
                  <c:v>Programa de Doctorado en Bioquímica y Biología Molecular</c:v>
                </c:pt>
                <c:pt idx="2">
                  <c:v>Programa de Doctorado en Farmacia</c:v>
                </c:pt>
                <c:pt idx="3">
                  <c:v>Programa de Doctorado en Medicina Clínica y Salud Pública</c:v>
                </c:pt>
                <c:pt idx="4">
                  <c:v>Programa de Doctorado en Nutrición y Ciencias de los Alimentos</c:v>
                </c:pt>
                <c:pt idx="5">
                  <c:v>Programa de Doctorado en Psicología</c:v>
                </c:pt>
              </c:strCache>
            </c:strRef>
          </c:cat>
          <c:val>
            <c:numRef>
              <c:f>(Indicadores!$AS$4,Indicadores!$AS$13,Indicadores!$AS$17,Indicadores!$AS$22,Indicadores!$AS$31,Indicadores!$AS$35)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3-4564-82EE-2CDB4E443D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11305311"/>
        <c:axId val="1111304063"/>
      </c:barChart>
      <c:catAx>
        <c:axId val="111130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11304063"/>
        <c:crosses val="autoZero"/>
        <c:auto val="1"/>
        <c:lblAlgn val="ctr"/>
        <c:lblOffset val="100"/>
        <c:noMultiLvlLbl val="0"/>
      </c:catAx>
      <c:valAx>
        <c:axId val="111130406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1130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/>
              <a:t>Promedio de publicaciones por alumno</a:t>
            </a:r>
          </a:p>
        </c:rich>
      </c:tx>
      <c:layout>
        <c:manualLayout>
          <c:xMode val="edge"/>
          <c:yMode val="edge"/>
          <c:x val="0.1874652230971128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8F8F8"/>
                </a:gs>
                <a:gs pos="0">
                  <a:schemeClr val="tx1">
                    <a:lumMod val="50000"/>
                    <a:lumOff val="50000"/>
                  </a:schemeClr>
                </a:gs>
                <a:gs pos="83000">
                  <a:schemeClr val="bg2">
                    <a:lumMod val="25000"/>
                  </a:schemeClr>
                </a:gs>
                <a:gs pos="91000">
                  <a:schemeClr val="bg2">
                    <a:lumMod val="25000"/>
                  </a:schemeClr>
                </a:gs>
              </a:gsLst>
              <a:lin ang="162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Indicadores!$BH$2:$BL$2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Indicadores!$BH$242:$BL$242</c:f>
              <c:numCache>
                <c:formatCode>0.0</c:formatCode>
                <c:ptCount val="5"/>
                <c:pt idx="0">
                  <c:v>10.007434944237918</c:v>
                </c:pt>
                <c:pt idx="1">
                  <c:v>6.6678082191780819</c:v>
                </c:pt>
                <c:pt idx="2">
                  <c:v>6.544910179640719</c:v>
                </c:pt>
                <c:pt idx="3">
                  <c:v>6.6934865900383143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B-4A2F-9AC4-BC0A0194256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19096831"/>
        <c:axId val="1019097663"/>
      </c:barChart>
      <c:catAx>
        <c:axId val="101909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9097663"/>
        <c:crosses val="autoZero"/>
        <c:auto val="1"/>
        <c:lblAlgn val="ctr"/>
        <c:lblOffset val="100"/>
        <c:noMultiLvlLbl val="0"/>
      </c:catAx>
      <c:valAx>
        <c:axId val="101909766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019096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Promedio</a:t>
            </a:r>
            <a:r>
              <a:rPr lang="es-ES" baseline="0"/>
              <a:t> de publicaciones por alumno y Programa de Doctorado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284527518172378E-2"/>
          <c:y val="0.17171296296296298"/>
          <c:w val="0.60228452751817241"/>
          <c:h val="0.77736111111111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Indicadores!$O$4</c:f>
              <c:strCache>
                <c:ptCount val="1"/>
                <c:pt idx="0">
                  <c:v>Programa de Doctorado en Biomedicina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Indicadores!$BG$4</c:f>
              <c:numCache>
                <c:formatCode>0.0</c:formatCode>
                <c:ptCount val="1"/>
                <c:pt idx="0">
                  <c:v>12.114503816793894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E-469F-8729-5264210AEE51}"/>
            </c:ext>
          </c:extLst>
        </c:ser>
        <c:ser>
          <c:idx val="1"/>
          <c:order val="1"/>
          <c:tx>
            <c:strRef>
              <c:f>Indicadores!$O$13</c:f>
              <c:strCache>
                <c:ptCount val="1"/>
                <c:pt idx="0">
                  <c:v>Programa de Doctorado en Bioquímica y Biología Molecular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Indicadores!$BG$13</c:f>
              <c:numCache>
                <c:formatCode>0.0</c:formatCode>
                <c:ptCount val="1"/>
                <c:pt idx="0">
                  <c:v>6.1428571428571432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CE-469F-8729-5264210AEE51}"/>
            </c:ext>
          </c:extLst>
        </c:ser>
        <c:ser>
          <c:idx val="2"/>
          <c:order val="2"/>
          <c:tx>
            <c:strRef>
              <c:f>Indicadores!$O$17</c:f>
              <c:strCache>
                <c:ptCount val="1"/>
                <c:pt idx="0">
                  <c:v>Programa de Doctorado en Farmacia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Indicadores!$BG$17</c:f>
              <c:numCache>
                <c:formatCode>0.0</c:formatCode>
                <c:ptCount val="1"/>
                <c:pt idx="0">
                  <c:v>7.4545454545454541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CE-469F-8729-5264210AEE51}"/>
            </c:ext>
          </c:extLst>
        </c:ser>
        <c:ser>
          <c:idx val="3"/>
          <c:order val="3"/>
          <c:tx>
            <c:strRef>
              <c:f>Indicadores!$O$22</c:f>
              <c:strCache>
                <c:ptCount val="1"/>
                <c:pt idx="0">
                  <c:v>Programa de Doctorado en Medicina Clínica y Salud Pública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Indicadores!$BG$22</c:f>
              <c:numCache>
                <c:formatCode>0.0</c:formatCode>
                <c:ptCount val="1"/>
                <c:pt idx="0">
                  <c:v>11.033333333333333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CE-469F-8729-5264210AEE51}"/>
            </c:ext>
          </c:extLst>
        </c:ser>
        <c:ser>
          <c:idx val="4"/>
          <c:order val="4"/>
          <c:tx>
            <c:strRef>
              <c:f>Indicadores!$O$31</c:f>
              <c:strCache>
                <c:ptCount val="1"/>
                <c:pt idx="0">
                  <c:v>Programa de Doctorado en Nutrición y Ciencias de los Alimentos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Indicadores!$BG$31</c:f>
              <c:numCache>
                <c:formatCode>0.0</c:formatCode>
                <c:ptCount val="1"/>
                <c:pt idx="0">
                  <c:v>8.5384615384615383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CE-469F-8729-5264210AEE51}"/>
            </c:ext>
          </c:extLst>
        </c:ser>
        <c:ser>
          <c:idx val="5"/>
          <c:order val="5"/>
          <c:tx>
            <c:strRef>
              <c:f>Indicadores!$O$35</c:f>
              <c:strCache>
                <c:ptCount val="1"/>
                <c:pt idx="0">
                  <c:v>Programa de Doctorado en Psicología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Indicadores!$BG$35</c:f>
              <c:numCache>
                <c:formatCode>0.0</c:formatCode>
                <c:ptCount val="1"/>
                <c:pt idx="0">
                  <c:v>7.360655737704918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CE-469F-8729-5264210AEE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20331743"/>
        <c:axId val="1120332575"/>
      </c:barChart>
      <c:catAx>
        <c:axId val="112033174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20332575"/>
        <c:crosses val="autoZero"/>
        <c:auto val="1"/>
        <c:lblAlgn val="ctr"/>
        <c:lblOffset val="100"/>
        <c:noMultiLvlLbl val="0"/>
      </c:catAx>
      <c:valAx>
        <c:axId val="1120332575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120331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Promedio de</a:t>
            </a:r>
            <a:r>
              <a:rPr lang="es-ES" baseline="0"/>
              <a:t> publicaciones por Programa de Doctorado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Indicadores!$O$4</c:f>
              <c:strCache>
                <c:ptCount val="1"/>
                <c:pt idx="0">
                  <c:v>Programa de Doctorado en Biomedicina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Indicadores!$BM$4</c:f>
              <c:numCache>
                <c:formatCode>0.0</c:formatCode>
                <c:ptCount val="1"/>
                <c:pt idx="0">
                  <c:v>197.625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E-4068-8EAE-54ECE2B30587}"/>
            </c:ext>
          </c:extLst>
        </c:ser>
        <c:ser>
          <c:idx val="1"/>
          <c:order val="1"/>
          <c:tx>
            <c:strRef>
              <c:f>Indicadores!$O$13</c:f>
              <c:strCache>
                <c:ptCount val="1"/>
                <c:pt idx="0">
                  <c:v>Programa de Doctorado en Bioquímica y Biología Molecular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Indicadores!$BM$13</c:f>
              <c:numCache>
                <c:formatCode>0.0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8E-4068-8EAE-54ECE2B30587}"/>
            </c:ext>
          </c:extLst>
        </c:ser>
        <c:ser>
          <c:idx val="2"/>
          <c:order val="2"/>
          <c:tx>
            <c:strRef>
              <c:f>Indicadores!$O$17</c:f>
              <c:strCache>
                <c:ptCount val="1"/>
                <c:pt idx="0">
                  <c:v>Programa de Doctorado en Farmacia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Indicadores!$BM$17</c:f>
              <c:numCache>
                <c:formatCode>0.0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8E-4068-8EAE-54ECE2B30587}"/>
            </c:ext>
          </c:extLst>
        </c:ser>
        <c:ser>
          <c:idx val="3"/>
          <c:order val="3"/>
          <c:tx>
            <c:strRef>
              <c:f>Indicadores!$O$22</c:f>
              <c:strCache>
                <c:ptCount val="1"/>
                <c:pt idx="0">
                  <c:v>Programa de Doctorado en Medicina Clínica y Salud Pública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Indicadores!$BM$22</c:f>
              <c:numCache>
                <c:formatCode>0.0</c:formatCode>
                <c:ptCount val="1"/>
                <c:pt idx="0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8E-4068-8EAE-54ECE2B30587}"/>
            </c:ext>
          </c:extLst>
        </c:ser>
        <c:ser>
          <c:idx val="4"/>
          <c:order val="4"/>
          <c:tx>
            <c:strRef>
              <c:f>Indicadores!$O$31</c:f>
              <c:strCache>
                <c:ptCount val="1"/>
                <c:pt idx="0">
                  <c:v>Programa de Doctorado en Nutrición y Ciencias de los Alimentos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Indicadores!$BM$31</c:f>
              <c:numCache>
                <c:formatCode>0.0</c:formatCode>
                <c:ptCount val="1"/>
                <c:pt idx="0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8E-4068-8EAE-54ECE2B30587}"/>
            </c:ext>
          </c:extLst>
        </c:ser>
        <c:ser>
          <c:idx val="5"/>
          <c:order val="5"/>
          <c:tx>
            <c:strRef>
              <c:f>Indicadores!$O$35</c:f>
              <c:strCache>
                <c:ptCount val="1"/>
                <c:pt idx="0">
                  <c:v>Programa de Doctorado en Psicología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Indicadores!$BM$35</c:f>
              <c:numCache>
                <c:formatCode>0.0</c:formatCode>
                <c:ptCount val="1"/>
                <c:pt idx="0">
                  <c:v>89.8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8E-4068-8EAE-54ECE2B305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009769839"/>
        <c:axId val="1009766511"/>
      </c:barChart>
      <c:catAx>
        <c:axId val="10097698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9766511"/>
        <c:crosses val="autoZero"/>
        <c:auto val="1"/>
        <c:lblAlgn val="ctr"/>
        <c:lblOffset val="100"/>
        <c:noMultiLvlLbl val="0"/>
      </c:catAx>
      <c:valAx>
        <c:axId val="100976651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009769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600" b="0"/>
              <a:t>Programa</a:t>
            </a:r>
            <a:r>
              <a:rPr lang="es-ES" sz="1600" b="0" baseline="0"/>
              <a:t> de Doctorado en Biomedicina</a:t>
            </a:r>
            <a:endParaRPr lang="es-ES" sz="1600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Indicadores!$O$5:$T$12</c:f>
              <c:strCache>
                <c:ptCount val="8"/>
                <c:pt idx="0">
                  <c:v>Actividad Física y Deporte</c:v>
                </c:pt>
                <c:pt idx="1">
                  <c:v>Biomedicina Regenerativa</c:v>
                </c:pt>
                <c:pt idx="2">
                  <c:v>Biotecnología en Biomedicina</c:v>
                </c:pt>
                <c:pt idx="3">
                  <c:v>Evolución Humana. Antropología Física y Forense</c:v>
                </c:pt>
                <c:pt idx="4">
                  <c:v>Ingeniería Tisular</c:v>
                </c:pt>
                <c:pt idx="5">
                  <c:v>Inmunología</c:v>
                </c:pt>
                <c:pt idx="6">
                  <c:v>Investigación Traslacional y Medicina Personalizada</c:v>
                </c:pt>
                <c:pt idx="7">
                  <c:v>Neurociencias Básicas</c:v>
                </c:pt>
              </c:strCache>
            </c:strRef>
          </c:cat>
          <c:val>
            <c:numRef>
              <c:f>Indicadores!$U$5:$U$12</c:f>
              <c:numCache>
                <c:formatCode>General</c:formatCode>
                <c:ptCount val="8"/>
                <c:pt idx="0">
                  <c:v>41</c:v>
                </c:pt>
                <c:pt idx="1">
                  <c:v>12</c:v>
                </c:pt>
                <c:pt idx="2">
                  <c:v>8</c:v>
                </c:pt>
                <c:pt idx="3">
                  <c:v>17</c:v>
                </c:pt>
                <c:pt idx="4">
                  <c:v>9</c:v>
                </c:pt>
                <c:pt idx="5">
                  <c:v>27</c:v>
                </c:pt>
                <c:pt idx="6">
                  <c:v>18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1C-47C7-8FDB-E7C360DE70B3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Indicadores!$O$5:$T$12</c:f>
              <c:strCache>
                <c:ptCount val="8"/>
                <c:pt idx="0">
                  <c:v>Actividad Física y Deporte</c:v>
                </c:pt>
                <c:pt idx="1">
                  <c:v>Biomedicina Regenerativa</c:v>
                </c:pt>
                <c:pt idx="2">
                  <c:v>Biotecnología en Biomedicina</c:v>
                </c:pt>
                <c:pt idx="3">
                  <c:v>Evolución Humana. Antropología Física y Forense</c:v>
                </c:pt>
                <c:pt idx="4">
                  <c:v>Ingeniería Tisular</c:v>
                </c:pt>
                <c:pt idx="5">
                  <c:v>Inmunología</c:v>
                </c:pt>
                <c:pt idx="6">
                  <c:v>Investigación Traslacional y Medicina Personalizada</c:v>
                </c:pt>
                <c:pt idx="7">
                  <c:v>Neurociencias Básicas</c:v>
                </c:pt>
              </c:strCache>
            </c:strRef>
          </c:cat>
          <c:val>
            <c:numRef>
              <c:f>Indicadores!$AT$5:$AT$12</c:f>
              <c:numCache>
                <c:formatCode>General</c:formatCode>
                <c:ptCount val="8"/>
                <c:pt idx="0">
                  <c:v>868</c:v>
                </c:pt>
                <c:pt idx="1">
                  <c:v>82</c:v>
                </c:pt>
                <c:pt idx="2">
                  <c:v>77</c:v>
                </c:pt>
                <c:pt idx="3">
                  <c:v>86</c:v>
                </c:pt>
                <c:pt idx="4">
                  <c:v>78</c:v>
                </c:pt>
                <c:pt idx="5">
                  <c:v>198</c:v>
                </c:pt>
                <c:pt idx="6">
                  <c:v>119</c:v>
                </c:pt>
                <c:pt idx="7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1C-47C7-8FDB-E7C360DE70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68325839"/>
        <c:axId val="368323343"/>
      </c:barChart>
      <c:catAx>
        <c:axId val="368325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8323343"/>
        <c:crosses val="autoZero"/>
        <c:auto val="1"/>
        <c:lblAlgn val="ctr"/>
        <c:lblOffset val="100"/>
        <c:noMultiLvlLbl val="0"/>
      </c:catAx>
      <c:valAx>
        <c:axId val="368323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68325839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 b="0"/>
              <a:t>Programa</a:t>
            </a:r>
            <a:r>
              <a:rPr lang="es-ES" sz="1400" b="0" baseline="0"/>
              <a:t> de Doctorado en Bioquímica </a:t>
            </a:r>
          </a:p>
          <a:p>
            <a:pPr>
              <a:defRPr sz="1400"/>
            </a:pPr>
            <a:r>
              <a:rPr lang="es-ES" sz="1400" b="0" baseline="0"/>
              <a:t>y Biología Molecular</a:t>
            </a:r>
            <a:endParaRPr lang="es-ES" sz="1400" b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Indicadores!$O$14:$T$16</c:f>
              <c:strCache>
                <c:ptCount val="3"/>
                <c:pt idx="0">
                  <c:v>Biología Molecular de protozoos parásitos</c:v>
                </c:pt>
                <c:pt idx="1">
                  <c:v>Bioquímica y Biología Molecular de plantas y microorganismos</c:v>
                </c:pt>
                <c:pt idx="2">
                  <c:v>Bioquímica y Biología molecular en Ciencias de la vida</c:v>
                </c:pt>
              </c:strCache>
            </c:strRef>
          </c:cat>
          <c:val>
            <c:numRef>
              <c:f>Indicadores!$U$14:$U$16</c:f>
              <c:numCache>
                <c:formatCode>General</c:formatCode>
                <c:ptCount val="3"/>
                <c:pt idx="0">
                  <c:v>5</c:v>
                </c:pt>
                <c:pt idx="1">
                  <c:v>2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0E-44B8-8F88-C776E49EBCC5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Indicadores!$O$14:$T$16</c:f>
              <c:strCache>
                <c:ptCount val="3"/>
                <c:pt idx="0">
                  <c:v>Biología Molecular de protozoos parásitos</c:v>
                </c:pt>
                <c:pt idx="1">
                  <c:v>Bioquímica y Biología Molecular de plantas y microorganismos</c:v>
                </c:pt>
                <c:pt idx="2">
                  <c:v>Bioquímica y Biología molecular en Ciencias de la vida</c:v>
                </c:pt>
              </c:strCache>
            </c:strRef>
          </c:cat>
          <c:val>
            <c:numRef>
              <c:f>Indicadores!$AT$14:$AT$16</c:f>
              <c:numCache>
                <c:formatCode>General</c:formatCode>
                <c:ptCount val="3"/>
                <c:pt idx="0">
                  <c:v>9</c:v>
                </c:pt>
                <c:pt idx="1">
                  <c:v>5</c:v>
                </c:pt>
                <c:pt idx="2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0E-44B8-8F88-C776E49EBC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64707727"/>
        <c:axId val="464711887"/>
      </c:barChart>
      <c:catAx>
        <c:axId val="46470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4711887"/>
        <c:crosses val="autoZero"/>
        <c:auto val="1"/>
        <c:lblAlgn val="ctr"/>
        <c:lblOffset val="100"/>
        <c:noMultiLvlLbl val="0"/>
      </c:catAx>
      <c:valAx>
        <c:axId val="46471188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64707727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600" b="0"/>
              <a:t>Programa de Doctorado en Farmacia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Indicadores!$O$18:$T$21</c:f>
              <c:strCache>
                <c:ptCount val="4"/>
                <c:pt idx="0">
                  <c:v>Farmacia social</c:v>
                </c:pt>
                <c:pt idx="1">
                  <c:v>Nuevas dianas terapéuticas</c:v>
                </c:pt>
                <c:pt idx="2">
                  <c:v>Química del medicamento</c:v>
                </c:pt>
                <c:pt idx="3">
                  <c:v>Tecnología del medicamento</c:v>
                </c:pt>
              </c:strCache>
            </c:strRef>
          </c:cat>
          <c:val>
            <c:numRef>
              <c:f>Indicadores!$U$18:$U$21</c:f>
              <c:numCache>
                <c:formatCode>General</c:formatCode>
                <c:ptCount val="4"/>
                <c:pt idx="0">
                  <c:v>19</c:v>
                </c:pt>
                <c:pt idx="1">
                  <c:v>12</c:v>
                </c:pt>
                <c:pt idx="2">
                  <c:v>6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A4-44E1-A909-9B01C5B70338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Indicadores!$O$18:$T$21</c:f>
              <c:strCache>
                <c:ptCount val="4"/>
                <c:pt idx="0">
                  <c:v>Farmacia social</c:v>
                </c:pt>
                <c:pt idx="1">
                  <c:v>Nuevas dianas terapéuticas</c:v>
                </c:pt>
                <c:pt idx="2">
                  <c:v>Química del medicamento</c:v>
                </c:pt>
                <c:pt idx="3">
                  <c:v>Tecnología del medicamento</c:v>
                </c:pt>
              </c:strCache>
            </c:strRef>
          </c:cat>
          <c:val>
            <c:numRef>
              <c:f>Indicadores!$AT$18:$AT$21</c:f>
              <c:numCache>
                <c:formatCode>General</c:formatCode>
                <c:ptCount val="4"/>
                <c:pt idx="0">
                  <c:v>128</c:v>
                </c:pt>
                <c:pt idx="1">
                  <c:v>67</c:v>
                </c:pt>
                <c:pt idx="2">
                  <c:v>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A4-44E1-A909-9B01C5B703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64498255"/>
        <c:axId val="364499503"/>
      </c:barChart>
      <c:catAx>
        <c:axId val="364498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499503"/>
        <c:crosses val="autoZero"/>
        <c:auto val="1"/>
        <c:lblAlgn val="ctr"/>
        <c:lblOffset val="100"/>
        <c:noMultiLvlLbl val="0"/>
      </c:catAx>
      <c:valAx>
        <c:axId val="36449950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64498255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600" b="0" i="0" u="none" strike="noStrike" baseline="0">
                <a:effectLst/>
              </a:rPr>
              <a:t>Programa de Doctorado en Medicina </a:t>
            </a:r>
          </a:p>
          <a:p>
            <a:pPr>
              <a:defRPr/>
            </a:pPr>
            <a:r>
              <a:rPr lang="es-ES" sz="1600" b="0" i="0" u="none" strike="noStrike" baseline="0">
                <a:effectLst/>
              </a:rPr>
              <a:t>Clínica y Salud Pública</a:t>
            </a:r>
            <a:endParaRPr lang="es-ES" sz="1600" b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Indicadores!$O$23:$T$30</c:f>
              <c:strCache>
                <c:ptCount val="8"/>
                <c:pt idx="0">
                  <c:v>Agentes infecciosos relacionados con los procesos clínicos</c:v>
                </c:pt>
                <c:pt idx="1">
                  <c:v>Epidemiología y Salud Pública</c:v>
                </c:pt>
                <c:pt idx="2">
                  <c:v>Farmacología Clínica</c:v>
                </c:pt>
                <c:pt idx="3">
                  <c:v>Fisiopatología de las enfermedades médico-quirúrgicas</c:v>
                </c:pt>
                <c:pt idx="4">
                  <c:v>Investigación en odontología clínica</c:v>
                </c:pt>
                <c:pt idx="5">
                  <c:v>Neurociencias clínicas y dolor</c:v>
                </c:pt>
                <c:pt idx="6">
                  <c:v>Investigación clínica en enfermería, fisioterapia y terapia ocupacional</c:v>
                </c:pt>
                <c:pt idx="7">
                  <c:v>Radiología y medicina física</c:v>
                </c:pt>
              </c:strCache>
            </c:strRef>
          </c:cat>
          <c:val>
            <c:numRef>
              <c:f>Indicadores!$U$23:$U$30</c:f>
              <c:numCache>
                <c:formatCode>General</c:formatCode>
                <c:ptCount val="8"/>
                <c:pt idx="0">
                  <c:v>9</c:v>
                </c:pt>
                <c:pt idx="1">
                  <c:v>20</c:v>
                </c:pt>
                <c:pt idx="2">
                  <c:v>11</c:v>
                </c:pt>
                <c:pt idx="3">
                  <c:v>39</c:v>
                </c:pt>
                <c:pt idx="4">
                  <c:v>20</c:v>
                </c:pt>
                <c:pt idx="5">
                  <c:v>6</c:v>
                </c:pt>
                <c:pt idx="6">
                  <c:v>9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3A-4AD7-BFAC-4DA1BED38BB1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Indicadores!$O$23:$T$30</c:f>
              <c:strCache>
                <c:ptCount val="8"/>
                <c:pt idx="0">
                  <c:v>Agentes infecciosos relacionados con los procesos clínicos</c:v>
                </c:pt>
                <c:pt idx="1">
                  <c:v>Epidemiología y Salud Pública</c:v>
                </c:pt>
                <c:pt idx="2">
                  <c:v>Farmacología Clínica</c:v>
                </c:pt>
                <c:pt idx="3">
                  <c:v>Fisiopatología de las enfermedades médico-quirúrgicas</c:v>
                </c:pt>
                <c:pt idx="4">
                  <c:v>Investigación en odontología clínica</c:v>
                </c:pt>
                <c:pt idx="5">
                  <c:v>Neurociencias clínicas y dolor</c:v>
                </c:pt>
                <c:pt idx="6">
                  <c:v>Investigación clínica en enfermería, fisioterapia y terapia ocupacional</c:v>
                </c:pt>
                <c:pt idx="7">
                  <c:v>Radiología y medicina física</c:v>
                </c:pt>
              </c:strCache>
            </c:strRef>
          </c:cat>
          <c:val>
            <c:numRef>
              <c:f>Indicadores!$AT$23:$AT$30</c:f>
              <c:numCache>
                <c:formatCode>General</c:formatCode>
                <c:ptCount val="8"/>
                <c:pt idx="0">
                  <c:v>75</c:v>
                </c:pt>
                <c:pt idx="1">
                  <c:v>259</c:v>
                </c:pt>
                <c:pt idx="2">
                  <c:v>108</c:v>
                </c:pt>
                <c:pt idx="3">
                  <c:v>390</c:v>
                </c:pt>
                <c:pt idx="4">
                  <c:v>192</c:v>
                </c:pt>
                <c:pt idx="5">
                  <c:v>81</c:v>
                </c:pt>
                <c:pt idx="6">
                  <c:v>88</c:v>
                </c:pt>
                <c:pt idx="7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3A-4AD7-BFAC-4DA1BED38B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65485791"/>
        <c:axId val="465487455"/>
      </c:barChart>
      <c:catAx>
        <c:axId val="465485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5487455"/>
        <c:crosses val="autoZero"/>
        <c:auto val="1"/>
        <c:lblAlgn val="ctr"/>
        <c:lblOffset val="100"/>
        <c:noMultiLvlLbl val="0"/>
      </c:catAx>
      <c:valAx>
        <c:axId val="46548745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65485791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600" b="0" i="0" u="none" strike="noStrike" baseline="0">
                <a:effectLst/>
              </a:rPr>
              <a:t>Programa de Doctorado en Psicología</a:t>
            </a:r>
            <a:endParaRPr lang="es-ES" sz="1600" b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Indicadores!$O$36:$T$40</c:f>
              <c:strCache>
                <c:ptCount val="5"/>
                <c:pt idx="0">
                  <c:v>	Neurociencia del Comportamiento, Cognitiva y Afectiva</c:v>
                </c:pt>
                <c:pt idx="1">
                  <c:v>	Psicología Clínica y de la Salud</c:v>
                </c:pt>
                <c:pt idx="2">
                  <c:v>	Psicología Experimental y Aplicada</c:v>
                </c:pt>
                <c:pt idx="3">
                  <c:v>	Psicología Social y Educativa</c:v>
                </c:pt>
                <c:pt idx="4">
                  <c:v>Metodología de Investigación y medición en psicología y salud</c:v>
                </c:pt>
              </c:strCache>
            </c:strRef>
          </c:cat>
          <c:val>
            <c:numRef>
              <c:f>Indicadores!$U$36:$U$40</c:f>
              <c:numCache>
                <c:formatCode>General</c:formatCode>
                <c:ptCount val="5"/>
                <c:pt idx="0">
                  <c:v>24</c:v>
                </c:pt>
                <c:pt idx="1">
                  <c:v>17</c:v>
                </c:pt>
                <c:pt idx="2">
                  <c:v>12</c:v>
                </c:pt>
                <c:pt idx="3">
                  <c:v>15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9-44EC-89AB-3404C00A01D5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Indicadores!$O$36:$T$40</c:f>
              <c:strCache>
                <c:ptCount val="5"/>
                <c:pt idx="0">
                  <c:v>	Neurociencia del Comportamiento, Cognitiva y Afectiva</c:v>
                </c:pt>
                <c:pt idx="1">
                  <c:v>	Psicología Clínica y de la Salud</c:v>
                </c:pt>
                <c:pt idx="2">
                  <c:v>	Psicología Experimental y Aplicada</c:v>
                </c:pt>
                <c:pt idx="3">
                  <c:v>	Psicología Social y Educativa</c:v>
                </c:pt>
                <c:pt idx="4">
                  <c:v>Metodología de Investigación y medición en psicología y salud</c:v>
                </c:pt>
              </c:strCache>
            </c:strRef>
          </c:cat>
          <c:val>
            <c:numRef>
              <c:f>Indicadores!$AT$36:$AT$40</c:f>
              <c:numCache>
                <c:formatCode>General</c:formatCode>
                <c:ptCount val="5"/>
                <c:pt idx="0">
                  <c:v>104</c:v>
                </c:pt>
                <c:pt idx="1">
                  <c:v>96</c:v>
                </c:pt>
                <c:pt idx="2">
                  <c:v>70</c:v>
                </c:pt>
                <c:pt idx="3">
                  <c:v>122</c:v>
                </c:pt>
                <c:pt idx="4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9-44EC-89AB-3404C00A01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64930751"/>
        <c:axId val="364925759"/>
      </c:barChart>
      <c:catAx>
        <c:axId val="36493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925759"/>
        <c:crosses val="autoZero"/>
        <c:auto val="1"/>
        <c:lblAlgn val="ctr"/>
        <c:lblOffset val="100"/>
        <c:noMultiLvlLbl val="0"/>
      </c:catAx>
      <c:valAx>
        <c:axId val="36492575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64930751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Programa de Doctorado en Nutrición y Ciencias de los Alimentos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Indicadores!$O$32:$T$34</c:f>
              <c:strCache>
                <c:ptCount val="3"/>
                <c:pt idx="0">
                  <c:v>Bioquímica nutricional</c:v>
                </c:pt>
                <c:pt idx="1">
                  <c:v>Estudios nutricionales. Diseño, calidad y seguridad de los alimentos</c:v>
                </c:pt>
                <c:pt idx="2">
                  <c:v>Nutrición humana y experimental en situaciones fisiológicas y patológicas. Valoración nutricional</c:v>
                </c:pt>
              </c:strCache>
            </c:strRef>
          </c:cat>
          <c:val>
            <c:numRef>
              <c:f>Indicadores!$U$32:$U$34</c:f>
              <c:numCache>
                <c:formatCode>General</c:formatCode>
                <c:ptCount val="3"/>
                <c:pt idx="0">
                  <c:v>3</c:v>
                </c:pt>
                <c:pt idx="1">
                  <c:v>11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7-466E-AD73-2F2FB350E51D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Indicadores!$O$32:$T$34</c:f>
              <c:strCache>
                <c:ptCount val="3"/>
                <c:pt idx="0">
                  <c:v>Bioquímica nutricional</c:v>
                </c:pt>
                <c:pt idx="1">
                  <c:v>Estudios nutricionales. Diseño, calidad y seguridad de los alimentos</c:v>
                </c:pt>
                <c:pt idx="2">
                  <c:v>Nutrición humana y experimental en situaciones fisiológicas y patológicas. Valoración nutricional</c:v>
                </c:pt>
              </c:strCache>
            </c:strRef>
          </c:cat>
          <c:val>
            <c:numRef>
              <c:f>Indicadores!$AT$32:$AT$34</c:f>
              <c:numCache>
                <c:formatCode>General</c:formatCode>
                <c:ptCount val="3"/>
                <c:pt idx="0">
                  <c:v>46</c:v>
                </c:pt>
                <c:pt idx="1">
                  <c:v>91</c:v>
                </c:pt>
                <c:pt idx="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7-466E-AD73-2F2FB350E5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08340271"/>
        <c:axId val="1108331119"/>
      </c:barChart>
      <c:catAx>
        <c:axId val="1108340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08331119"/>
        <c:crosses val="autoZero"/>
        <c:auto val="1"/>
        <c:lblAlgn val="ctr"/>
        <c:lblOffset val="100"/>
        <c:noMultiLvlLbl val="0"/>
      </c:catAx>
      <c:valAx>
        <c:axId val="110833111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08340271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 cap="none" baseline="0"/>
              <a:t>Alumnos por Programa de la Escuela de Doctorado </a:t>
            </a:r>
          </a:p>
          <a:p>
            <a:pPr>
              <a:defRPr/>
            </a:pPr>
            <a:r>
              <a:rPr lang="en-US" b="0" cap="none" baseline="0"/>
              <a:t>de Ciencias, Tecnologías e Ingenierías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Indicadores!$O$41</c:f>
              <c:strCache>
                <c:ptCount val="1"/>
                <c:pt idx="0">
                  <c:v>Escuela de Doctorado de Ciencias, Tecnologías e Ingenierías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(Indicadores!$O$42,Indicadores!$O$62,Indicadores!$O$74,Indicadores!$O$78,Indicadores!$O$86,Indicadores!$O$96,Indicadores!$O$110,Indicadores!$O$120,Indicadores!$O$125,Indicadores!$O$139)</c:f>
              <c:strCache>
                <c:ptCount val="10"/>
                <c:pt idx="0">
                  <c:v>Programa de Doctorado en Biología Fundamental y de Sistemas</c:v>
                </c:pt>
                <c:pt idx="1">
                  <c:v>Programa de Doctorado en Ciencias de la Tierra</c:v>
                </c:pt>
                <c:pt idx="2">
                  <c:v>Programa de Doctorado en Dinámica de Flujos Biogeoquímicos y sus Aplicaciones</c:v>
                </c:pt>
                <c:pt idx="3">
                  <c:v>Programa de Doctorado en Estadística Matemática y Aplicada</c:v>
                </c:pt>
                <c:pt idx="4">
                  <c:v>Programa de Doctorado en Física y Ciencias del Espacio</c:v>
                </c:pt>
                <c:pt idx="5">
                  <c:v>Programa de Doctorado en Física y Matemáticas</c:v>
                </c:pt>
                <c:pt idx="6">
                  <c:v>Programa de Doctorado en Ingeniería Civil</c:v>
                </c:pt>
                <c:pt idx="7">
                  <c:v>Programa de Doctorado en Matemáticas</c:v>
                </c:pt>
                <c:pt idx="8">
                  <c:v>Programa de Doctorado en Química</c:v>
                </c:pt>
                <c:pt idx="9">
                  <c:v>Programa de Doctorado en Tecnologías de la información y la Comunicación</c:v>
                </c:pt>
              </c:strCache>
            </c:strRef>
          </c:cat>
          <c:val>
            <c:numRef>
              <c:f>(Indicadores!$U$42,Indicadores!$U$62,Indicadores!$U$74,Indicadores!$U$78,Indicadores!$U$86,Indicadores!$U$96,Indicadores!$U$110,Indicadores!$U$120,Indicadores!$U$125,Indicadores!$U$139)</c:f>
              <c:numCache>
                <c:formatCode>General</c:formatCode>
                <c:ptCount val="10"/>
                <c:pt idx="0">
                  <c:v>77</c:v>
                </c:pt>
                <c:pt idx="1">
                  <c:v>29</c:v>
                </c:pt>
                <c:pt idx="2">
                  <c:v>10</c:v>
                </c:pt>
                <c:pt idx="3">
                  <c:v>12</c:v>
                </c:pt>
                <c:pt idx="4">
                  <c:v>48</c:v>
                </c:pt>
                <c:pt idx="5">
                  <c:v>26</c:v>
                </c:pt>
                <c:pt idx="6">
                  <c:v>37</c:v>
                </c:pt>
                <c:pt idx="7">
                  <c:v>9</c:v>
                </c:pt>
                <c:pt idx="8">
                  <c:v>56</c:v>
                </c:pt>
                <c:pt idx="9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D2-4D87-8B5F-2B008E091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40504176"/>
        <c:axId val="1240510416"/>
      </c:barChart>
      <c:catAx>
        <c:axId val="1240504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50" b="0" i="0" u="none" strike="noStrike" kern="1200" cap="none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40510416"/>
        <c:crosses val="autoZero"/>
        <c:auto val="1"/>
        <c:lblAlgn val="ctr"/>
        <c:lblOffset val="100"/>
        <c:noMultiLvlLbl val="0"/>
      </c:catAx>
      <c:valAx>
        <c:axId val="12405104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4050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0" cap="none" baseline="0"/>
              <a:t>Número publicaciones por programa de la Escuela de Doctorado de Ciencias, Tecnologías e Ingenierías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(Indicadores!$O$42,Indicadores!$O$62,Indicadores!$O$74,Indicadores!$O$78,Indicadores!$O$86,Indicadores!$O$96,Indicadores!$O$110,Indicadores!$O$120,Indicadores!$O$125,Indicadores!$O$139)</c:f>
              <c:strCache>
                <c:ptCount val="10"/>
                <c:pt idx="0">
                  <c:v>Programa de Doctorado en Biología Fundamental y de Sistemas</c:v>
                </c:pt>
                <c:pt idx="1">
                  <c:v>Programa de Doctorado en Ciencias de la Tierra</c:v>
                </c:pt>
                <c:pt idx="2">
                  <c:v>Programa de Doctorado en Dinámica de Flujos Biogeoquímicos y sus Aplicaciones</c:v>
                </c:pt>
                <c:pt idx="3">
                  <c:v>Programa de Doctorado en Estadística Matemática y Aplicada</c:v>
                </c:pt>
                <c:pt idx="4">
                  <c:v>Programa de Doctorado en Física y Ciencias del Espacio</c:v>
                </c:pt>
                <c:pt idx="5">
                  <c:v>Programa de Doctorado en Física y Matemáticas</c:v>
                </c:pt>
                <c:pt idx="6">
                  <c:v>Programa de Doctorado en Ingeniería Civil</c:v>
                </c:pt>
                <c:pt idx="7">
                  <c:v>Programa de Doctorado en Matemáticas</c:v>
                </c:pt>
                <c:pt idx="8">
                  <c:v>Programa de Doctorado en Química</c:v>
                </c:pt>
                <c:pt idx="9">
                  <c:v>Programa de Doctorado en Tecnologías de la información y la Comunicación</c:v>
                </c:pt>
              </c:strCache>
            </c:strRef>
          </c:cat>
          <c:val>
            <c:numRef>
              <c:f>(Indicadores!$AT$42,Indicadores!$AT$62,Indicadores!$AT$74,Indicadores!$AT$78,Indicadores!$AT$86,Indicadores!$AT$96,Indicadores!$AT$110,Indicadores!$AT$120,Indicadores!$AT$125,Indicadores!$AT$139)</c:f>
              <c:numCache>
                <c:formatCode>General</c:formatCode>
                <c:ptCount val="10"/>
                <c:pt idx="0">
                  <c:v>486</c:v>
                </c:pt>
                <c:pt idx="1">
                  <c:v>109</c:v>
                </c:pt>
                <c:pt idx="2">
                  <c:v>45</c:v>
                </c:pt>
                <c:pt idx="3">
                  <c:v>39</c:v>
                </c:pt>
                <c:pt idx="4">
                  <c:v>298</c:v>
                </c:pt>
                <c:pt idx="5">
                  <c:v>142</c:v>
                </c:pt>
                <c:pt idx="6">
                  <c:v>190</c:v>
                </c:pt>
                <c:pt idx="7">
                  <c:v>25</c:v>
                </c:pt>
                <c:pt idx="8">
                  <c:v>402</c:v>
                </c:pt>
                <c:pt idx="9">
                  <c:v>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2-43EF-87C6-2F7693E51A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73353472"/>
        <c:axId val="1173354304"/>
      </c:barChart>
      <c:catAx>
        <c:axId val="1173353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50" b="0" i="0" u="none" strike="noStrike" kern="1200" cap="none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3354304"/>
        <c:crosses val="autoZero"/>
        <c:auto val="1"/>
        <c:lblAlgn val="ctr"/>
        <c:lblOffset val="100"/>
        <c:noMultiLvlLbl val="0"/>
      </c:catAx>
      <c:valAx>
        <c:axId val="11733543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3353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/>
              <a:t>Promedio total de publicaciones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F8F8F8"/>
                </a:gs>
                <a:gs pos="0">
                  <a:srgbClr val="A30909"/>
                </a:gs>
                <a:gs pos="52000">
                  <a:srgbClr val="700606"/>
                </a:gs>
                <a:gs pos="91000">
                  <a:srgbClr val="570505"/>
                </a:gs>
              </a:gsLst>
              <a:lin ang="16200000" scaled="1"/>
              <a:tileRect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Indicadores!$BN$2:$BR$2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Indicadores!$BN$242:$BR$242</c:f>
              <c:numCache>
                <c:formatCode>0.0</c:formatCode>
                <c:ptCount val="5"/>
                <c:pt idx="0">
                  <c:v>897.33333333333337</c:v>
                </c:pt>
                <c:pt idx="1">
                  <c:v>649</c:v>
                </c:pt>
                <c:pt idx="2">
                  <c:v>728.66666666666663</c:v>
                </c:pt>
                <c:pt idx="3">
                  <c:v>582.33333333333337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6-41CF-AB22-170AB30CE0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120347007"/>
        <c:axId val="1120348671"/>
      </c:barChart>
      <c:catAx>
        <c:axId val="1120347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20348671"/>
        <c:crosses val="autoZero"/>
        <c:auto val="1"/>
        <c:lblAlgn val="ctr"/>
        <c:lblOffset val="100"/>
        <c:noMultiLvlLbl val="0"/>
      </c:catAx>
      <c:valAx>
        <c:axId val="112034867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20347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</a:t>
            </a:r>
            <a:r>
              <a:rPr lang="es-ES" baseline="0"/>
              <a:t> de alumnos por género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Indicadores!$V$2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chemeClr val="accent5">
                    <a:lumMod val="60000"/>
                    <a:lumOff val="40000"/>
                  </a:schemeClr>
                </a:gs>
                <a:gs pos="56000">
                  <a:schemeClr val="accent5">
                    <a:lumMod val="75000"/>
                  </a:schemeClr>
                </a:gs>
                <a:gs pos="100000">
                  <a:schemeClr val="accent5">
                    <a:lumMod val="5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(Indicadores!$O$139,Indicadores!$O$125,Indicadores!$O$120,Indicadores!$O$110,Indicadores!$O$96,Indicadores!$O$86,Indicadores!$O$78,Indicadores!$O$74,Indicadores!$O$62,Indicadores!$O$42)</c:f>
              <c:strCache>
                <c:ptCount val="10"/>
                <c:pt idx="0">
                  <c:v>Programa de Doctorado en Tecnologías de la información y la Comunicación</c:v>
                </c:pt>
                <c:pt idx="1">
                  <c:v>Programa de Doctorado en Química</c:v>
                </c:pt>
                <c:pt idx="2">
                  <c:v>Programa de Doctorado en Matemáticas</c:v>
                </c:pt>
                <c:pt idx="3">
                  <c:v>Programa de Doctorado en Ingeniería Civil</c:v>
                </c:pt>
                <c:pt idx="4">
                  <c:v>Programa de Doctorado en Física y Matemáticas</c:v>
                </c:pt>
                <c:pt idx="5">
                  <c:v>Programa de Doctorado en Física y Ciencias del Espacio</c:v>
                </c:pt>
                <c:pt idx="6">
                  <c:v>Programa de Doctorado en Estadística Matemática y Aplicada</c:v>
                </c:pt>
                <c:pt idx="7">
                  <c:v>Programa de Doctorado en Dinámica de Flujos Biogeoquímicos y sus Aplicaciones</c:v>
                </c:pt>
                <c:pt idx="8">
                  <c:v>Programa de Doctorado en Ciencias de la Tierra</c:v>
                </c:pt>
                <c:pt idx="9">
                  <c:v>Programa de Doctorado en Biología Fundamental y de Sistemas</c:v>
                </c:pt>
              </c:strCache>
            </c:strRef>
          </c:cat>
          <c:val>
            <c:numRef>
              <c:f>(Indicadores!$V$139,Indicadores!$V$125,Indicadores!$V$120,Indicadores!$V$110,Indicadores!$V$96,Indicadores!$V$86,Indicadores!$V$78,Indicadores!$V$74,Indicadores!$V$62,Indicadores!$V$42)</c:f>
              <c:numCache>
                <c:formatCode>General</c:formatCode>
                <c:ptCount val="10"/>
                <c:pt idx="0">
                  <c:v>67</c:v>
                </c:pt>
                <c:pt idx="1">
                  <c:v>28</c:v>
                </c:pt>
                <c:pt idx="2">
                  <c:v>8</c:v>
                </c:pt>
                <c:pt idx="3">
                  <c:v>23</c:v>
                </c:pt>
                <c:pt idx="4">
                  <c:v>18</c:v>
                </c:pt>
                <c:pt idx="5">
                  <c:v>34</c:v>
                </c:pt>
                <c:pt idx="6">
                  <c:v>8</c:v>
                </c:pt>
                <c:pt idx="7">
                  <c:v>3</c:v>
                </c:pt>
                <c:pt idx="8">
                  <c:v>17</c:v>
                </c:pt>
                <c:pt idx="9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4-449C-870C-AB714ACE50FC}"/>
            </c:ext>
          </c:extLst>
        </c:ser>
        <c:ser>
          <c:idx val="1"/>
          <c:order val="1"/>
          <c:tx>
            <c:strRef>
              <c:f>Indicadores!$W$2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C10B0B"/>
                </a:gs>
                <a:gs pos="52000">
                  <a:srgbClr val="8E0808"/>
                </a:gs>
                <a:gs pos="100000">
                  <a:srgbClr val="57050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(Indicadores!$O$139,Indicadores!$O$125,Indicadores!$O$120,Indicadores!$O$110,Indicadores!$O$96,Indicadores!$O$86,Indicadores!$O$78,Indicadores!$O$74,Indicadores!$O$62,Indicadores!$O$42)</c:f>
              <c:strCache>
                <c:ptCount val="10"/>
                <c:pt idx="0">
                  <c:v>Programa de Doctorado en Tecnologías de la información y la Comunicación</c:v>
                </c:pt>
                <c:pt idx="1">
                  <c:v>Programa de Doctorado en Química</c:v>
                </c:pt>
                <c:pt idx="2">
                  <c:v>Programa de Doctorado en Matemáticas</c:v>
                </c:pt>
                <c:pt idx="3">
                  <c:v>Programa de Doctorado en Ingeniería Civil</c:v>
                </c:pt>
                <c:pt idx="4">
                  <c:v>Programa de Doctorado en Física y Matemáticas</c:v>
                </c:pt>
                <c:pt idx="5">
                  <c:v>Programa de Doctorado en Física y Ciencias del Espacio</c:v>
                </c:pt>
                <c:pt idx="6">
                  <c:v>Programa de Doctorado en Estadística Matemática y Aplicada</c:v>
                </c:pt>
                <c:pt idx="7">
                  <c:v>Programa de Doctorado en Dinámica de Flujos Biogeoquímicos y sus Aplicaciones</c:v>
                </c:pt>
                <c:pt idx="8">
                  <c:v>Programa de Doctorado en Ciencias de la Tierra</c:v>
                </c:pt>
                <c:pt idx="9">
                  <c:v>Programa de Doctorado en Biología Fundamental y de Sistemas</c:v>
                </c:pt>
              </c:strCache>
            </c:strRef>
          </c:cat>
          <c:val>
            <c:numRef>
              <c:f>(Indicadores!$W$139,Indicadores!$W$125,Indicadores!$W$120,Indicadores!$W$110,Indicadores!$W$96,Indicadores!$W$86,Indicadores!$W$78,Indicadores!$W$74,Indicadores!$W$62,Indicadores!$W$42)</c:f>
              <c:numCache>
                <c:formatCode>General</c:formatCode>
                <c:ptCount val="10"/>
                <c:pt idx="0">
                  <c:v>16</c:v>
                </c:pt>
                <c:pt idx="1">
                  <c:v>28</c:v>
                </c:pt>
                <c:pt idx="2">
                  <c:v>1</c:v>
                </c:pt>
                <c:pt idx="3">
                  <c:v>14</c:v>
                </c:pt>
                <c:pt idx="4">
                  <c:v>8</c:v>
                </c:pt>
                <c:pt idx="5">
                  <c:v>14</c:v>
                </c:pt>
                <c:pt idx="6">
                  <c:v>4</c:v>
                </c:pt>
                <c:pt idx="7">
                  <c:v>7</c:v>
                </c:pt>
                <c:pt idx="8">
                  <c:v>12</c:v>
                </c:pt>
                <c:pt idx="9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4-449C-870C-AB714ACE50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19197311"/>
        <c:axId val="1119196479"/>
      </c:barChart>
      <c:catAx>
        <c:axId val="11191973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19196479"/>
        <c:crosses val="autoZero"/>
        <c:auto val="1"/>
        <c:lblAlgn val="ctr"/>
        <c:lblOffset val="100"/>
        <c:noMultiLvlLbl val="0"/>
      </c:catAx>
      <c:valAx>
        <c:axId val="111919647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9197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</a:t>
            </a:r>
            <a:r>
              <a:rPr lang="es-ES" baseline="0"/>
              <a:t> de publicaciones por género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Indicadores!$AU$2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chemeClr val="accent5">
                    <a:lumMod val="60000"/>
                    <a:lumOff val="40000"/>
                  </a:schemeClr>
                </a:gs>
                <a:gs pos="56000">
                  <a:schemeClr val="accent5">
                    <a:lumMod val="75000"/>
                  </a:schemeClr>
                </a:gs>
                <a:gs pos="100000">
                  <a:schemeClr val="accent5">
                    <a:lumMod val="5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(Indicadores!$O$139,Indicadores!$O$125,Indicadores!$O$120,Indicadores!$O$110,Indicadores!$O$96,Indicadores!$O$86,Indicadores!$O$78,Indicadores!$O$74,Indicadores!$O$62,Indicadores!$O$42)</c:f>
              <c:strCache>
                <c:ptCount val="10"/>
                <c:pt idx="0">
                  <c:v>Programa de Doctorado en Tecnologías de la información y la Comunicación</c:v>
                </c:pt>
                <c:pt idx="1">
                  <c:v>Programa de Doctorado en Química</c:v>
                </c:pt>
                <c:pt idx="2">
                  <c:v>Programa de Doctorado en Matemáticas</c:v>
                </c:pt>
                <c:pt idx="3">
                  <c:v>Programa de Doctorado en Ingeniería Civil</c:v>
                </c:pt>
                <c:pt idx="4">
                  <c:v>Programa de Doctorado en Física y Matemáticas</c:v>
                </c:pt>
                <c:pt idx="5">
                  <c:v>Programa de Doctorado en Física y Ciencias del Espacio</c:v>
                </c:pt>
                <c:pt idx="6">
                  <c:v>Programa de Doctorado en Estadística Matemática y Aplicada</c:v>
                </c:pt>
                <c:pt idx="7">
                  <c:v>Programa de Doctorado en Dinámica de Flujos Biogeoquímicos y sus Aplicaciones</c:v>
                </c:pt>
                <c:pt idx="8">
                  <c:v>Programa de Doctorado en Ciencias de la Tierra</c:v>
                </c:pt>
                <c:pt idx="9">
                  <c:v>Programa de Doctorado en Biología Fundamental y de Sistemas</c:v>
                </c:pt>
              </c:strCache>
            </c:strRef>
          </c:cat>
          <c:val>
            <c:numRef>
              <c:f>(Indicadores!$AU$139,Indicadores!$AU$125,Indicadores!$AU$120,Indicadores!$AU$110,Indicadores!$AU$96,Indicadores!$AU$86,Indicadores!$AU$78,Indicadores!$AU$74,Indicadores!$AU$62,Indicadores!$AU$42)</c:f>
              <c:numCache>
                <c:formatCode>General</c:formatCode>
                <c:ptCount val="10"/>
                <c:pt idx="0">
                  <c:v>354</c:v>
                </c:pt>
                <c:pt idx="1">
                  <c:v>158</c:v>
                </c:pt>
                <c:pt idx="2">
                  <c:v>21</c:v>
                </c:pt>
                <c:pt idx="3">
                  <c:v>105</c:v>
                </c:pt>
                <c:pt idx="4">
                  <c:v>125</c:v>
                </c:pt>
                <c:pt idx="5">
                  <c:v>225</c:v>
                </c:pt>
                <c:pt idx="6">
                  <c:v>36</c:v>
                </c:pt>
                <c:pt idx="7">
                  <c:v>9</c:v>
                </c:pt>
                <c:pt idx="8">
                  <c:v>75</c:v>
                </c:pt>
                <c:pt idx="9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9-4FF0-8F34-68C6872A8468}"/>
            </c:ext>
          </c:extLst>
        </c:ser>
        <c:ser>
          <c:idx val="1"/>
          <c:order val="1"/>
          <c:tx>
            <c:strRef>
              <c:f>Indicadores!$AV$2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C10B0B"/>
                </a:gs>
                <a:gs pos="52000">
                  <a:srgbClr val="8E0808"/>
                </a:gs>
                <a:gs pos="100000">
                  <a:srgbClr val="57050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(Indicadores!$O$139,Indicadores!$O$125,Indicadores!$O$120,Indicadores!$O$110,Indicadores!$O$96,Indicadores!$O$86,Indicadores!$O$78,Indicadores!$O$74,Indicadores!$O$62,Indicadores!$O$42)</c:f>
              <c:strCache>
                <c:ptCount val="10"/>
                <c:pt idx="0">
                  <c:v>Programa de Doctorado en Tecnologías de la información y la Comunicación</c:v>
                </c:pt>
                <c:pt idx="1">
                  <c:v>Programa de Doctorado en Química</c:v>
                </c:pt>
                <c:pt idx="2">
                  <c:v>Programa de Doctorado en Matemáticas</c:v>
                </c:pt>
                <c:pt idx="3">
                  <c:v>Programa de Doctorado en Ingeniería Civil</c:v>
                </c:pt>
                <c:pt idx="4">
                  <c:v>Programa de Doctorado en Física y Matemáticas</c:v>
                </c:pt>
                <c:pt idx="5">
                  <c:v>Programa de Doctorado en Física y Ciencias del Espacio</c:v>
                </c:pt>
                <c:pt idx="6">
                  <c:v>Programa de Doctorado en Estadística Matemática y Aplicada</c:v>
                </c:pt>
                <c:pt idx="7">
                  <c:v>Programa de Doctorado en Dinámica de Flujos Biogeoquímicos y sus Aplicaciones</c:v>
                </c:pt>
                <c:pt idx="8">
                  <c:v>Programa de Doctorado en Ciencias de la Tierra</c:v>
                </c:pt>
                <c:pt idx="9">
                  <c:v>Programa de Doctorado en Biología Fundamental y de Sistemas</c:v>
                </c:pt>
              </c:strCache>
            </c:strRef>
          </c:cat>
          <c:val>
            <c:numRef>
              <c:f>(Indicadores!$AV$139,Indicadores!$AV$125,Indicadores!$AV$120,Indicadores!$AV$110,Indicadores!$AV$96,Indicadores!$AV$86,Indicadores!$AV$78,Indicadores!$AV$74,Indicadores!$AV$62,Indicadores!$AV$42)</c:f>
              <c:numCache>
                <c:formatCode>General</c:formatCode>
                <c:ptCount val="10"/>
                <c:pt idx="0">
                  <c:v>292</c:v>
                </c:pt>
                <c:pt idx="1">
                  <c:v>244</c:v>
                </c:pt>
                <c:pt idx="2">
                  <c:v>4</c:v>
                </c:pt>
                <c:pt idx="3">
                  <c:v>85</c:v>
                </c:pt>
                <c:pt idx="4">
                  <c:v>17</c:v>
                </c:pt>
                <c:pt idx="5">
                  <c:v>73</c:v>
                </c:pt>
                <c:pt idx="6">
                  <c:v>3</c:v>
                </c:pt>
                <c:pt idx="7">
                  <c:v>36</c:v>
                </c:pt>
                <c:pt idx="8">
                  <c:v>34</c:v>
                </c:pt>
                <c:pt idx="9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29-4FF0-8F34-68C6872A84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917170415"/>
        <c:axId val="917171247"/>
      </c:barChart>
      <c:catAx>
        <c:axId val="9171704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7171247"/>
        <c:crosses val="autoZero"/>
        <c:auto val="1"/>
        <c:lblAlgn val="ctr"/>
        <c:lblOffset val="100"/>
        <c:noMultiLvlLbl val="0"/>
      </c:catAx>
      <c:valAx>
        <c:axId val="9171712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17170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0" i="0" baseline="0">
                <a:effectLst/>
              </a:rPr>
              <a:t>Relación de alumnos por curso académico </a:t>
            </a:r>
          </a:p>
          <a:p>
            <a:pPr>
              <a:defRPr/>
            </a:pPr>
            <a:r>
              <a:rPr lang="es-ES" sz="1600" b="0" i="0" baseline="0">
                <a:effectLst/>
              </a:rPr>
              <a:t>y Programa de Doctorado</a:t>
            </a:r>
            <a:endParaRPr lang="es-E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Indicadores!$O$42</c:f>
              <c:strCache>
                <c:ptCount val="1"/>
                <c:pt idx="0">
                  <c:v>Programa de Doctorado en Biología Fundamental y de Sistemas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Indicadores!$X$42:$AB$42</c:f>
              <c:numCache>
                <c:formatCode>General</c:formatCode>
                <c:ptCount val="5"/>
                <c:pt idx="0">
                  <c:v>17</c:v>
                </c:pt>
                <c:pt idx="1">
                  <c:v>28</c:v>
                </c:pt>
                <c:pt idx="2">
                  <c:v>17</c:v>
                </c:pt>
                <c:pt idx="3">
                  <c:v>15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3-450D-AA82-FC1808C010CE}"/>
            </c:ext>
          </c:extLst>
        </c:ser>
        <c:ser>
          <c:idx val="1"/>
          <c:order val="1"/>
          <c:tx>
            <c:strRef>
              <c:f>Indicadores!$O$62</c:f>
              <c:strCache>
                <c:ptCount val="1"/>
                <c:pt idx="0">
                  <c:v>Programa de Doctorado en Ciencias de la Tierra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Indicadores!$X$62:$AB$62</c:f>
              <c:numCache>
                <c:formatCode>General</c:formatCode>
                <c:ptCount val="5"/>
                <c:pt idx="0">
                  <c:v>9</c:v>
                </c:pt>
                <c:pt idx="1">
                  <c:v>8</c:v>
                </c:pt>
                <c:pt idx="2">
                  <c:v>4</c:v>
                </c:pt>
                <c:pt idx="3">
                  <c:v>8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3-450D-AA82-FC1808C010CE}"/>
            </c:ext>
          </c:extLst>
        </c:ser>
        <c:ser>
          <c:idx val="2"/>
          <c:order val="2"/>
          <c:tx>
            <c:strRef>
              <c:f>Indicadores!$O$74</c:f>
              <c:strCache>
                <c:ptCount val="1"/>
                <c:pt idx="0">
                  <c:v>Programa de Doctorado en Dinámica de Flujos Biogeoquímicos y sus Aplicaciones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Indicadores!$X$74:$AB$74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C3-450D-AA82-FC1808C010CE}"/>
            </c:ext>
          </c:extLst>
        </c:ser>
        <c:ser>
          <c:idx val="3"/>
          <c:order val="3"/>
          <c:tx>
            <c:strRef>
              <c:f>Indicadores!$O$78</c:f>
              <c:strCache>
                <c:ptCount val="1"/>
                <c:pt idx="0">
                  <c:v>Programa de Doctorado en Estadística Matemática y Aplicada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Indicadores!$X$78:$AB$78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C3-450D-AA82-FC1808C010CE}"/>
            </c:ext>
          </c:extLst>
        </c:ser>
        <c:ser>
          <c:idx val="4"/>
          <c:order val="4"/>
          <c:tx>
            <c:strRef>
              <c:f>Indicadores!$O$86</c:f>
              <c:strCache>
                <c:ptCount val="1"/>
                <c:pt idx="0">
                  <c:v>Programa de Doctorado en Física y Ciencias del Espacio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Indicadores!$X$86:$AB$86</c:f>
              <c:numCache>
                <c:formatCode>General</c:formatCode>
                <c:ptCount val="5"/>
                <c:pt idx="0">
                  <c:v>8</c:v>
                </c:pt>
                <c:pt idx="1">
                  <c:v>14</c:v>
                </c:pt>
                <c:pt idx="2">
                  <c:v>19</c:v>
                </c:pt>
                <c:pt idx="3">
                  <c:v>7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C3-450D-AA82-FC1808C010CE}"/>
            </c:ext>
          </c:extLst>
        </c:ser>
        <c:ser>
          <c:idx val="5"/>
          <c:order val="5"/>
          <c:tx>
            <c:strRef>
              <c:f>Indicadores!$O$96</c:f>
              <c:strCache>
                <c:ptCount val="1"/>
                <c:pt idx="0">
                  <c:v>Programa de Doctorado en Física y Matemáticas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Indicadores!$X$96:$AB$96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14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C3-450D-AA82-FC1808C010CE}"/>
            </c:ext>
          </c:extLst>
        </c:ser>
        <c:ser>
          <c:idx val="6"/>
          <c:order val="6"/>
          <c:tx>
            <c:strRef>
              <c:f>Indicadores!$O$110</c:f>
              <c:strCache>
                <c:ptCount val="1"/>
                <c:pt idx="0">
                  <c:v>Programa de Doctorado en Ingeniería Civil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Indicadores!$X$110:$AB$110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16</c:v>
                </c:pt>
                <c:pt idx="3">
                  <c:v>7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C3-450D-AA82-FC1808C010CE}"/>
            </c:ext>
          </c:extLst>
        </c:ser>
        <c:ser>
          <c:idx val="7"/>
          <c:order val="7"/>
          <c:tx>
            <c:strRef>
              <c:f>Indicadores!$O$120</c:f>
              <c:strCache>
                <c:ptCount val="1"/>
                <c:pt idx="0">
                  <c:v>Programa de Doctorado en Matemáticas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Indicadores!$X$120:$AB$120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7C3-450D-AA82-FC1808C010CE}"/>
            </c:ext>
          </c:extLst>
        </c:ser>
        <c:ser>
          <c:idx val="8"/>
          <c:order val="8"/>
          <c:tx>
            <c:strRef>
              <c:f>Indicadores!$O$125</c:f>
              <c:strCache>
                <c:ptCount val="1"/>
                <c:pt idx="0">
                  <c:v>Programa de Doctorado en Química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Indicadores!$X$125:$AB$125</c:f>
              <c:numCache>
                <c:formatCode>General</c:formatCode>
                <c:ptCount val="5"/>
                <c:pt idx="0">
                  <c:v>10</c:v>
                </c:pt>
                <c:pt idx="1">
                  <c:v>21</c:v>
                </c:pt>
                <c:pt idx="2">
                  <c:v>15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7C3-450D-AA82-FC1808C010CE}"/>
            </c:ext>
          </c:extLst>
        </c:ser>
        <c:ser>
          <c:idx val="9"/>
          <c:order val="9"/>
          <c:tx>
            <c:strRef>
              <c:f>Indicadores!$O$139</c:f>
              <c:strCache>
                <c:ptCount val="1"/>
                <c:pt idx="0">
                  <c:v>Programa de Doctorado en Tecnologías de la información y la Comunicación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Indicadores!$X$139:$AB$139</c:f>
              <c:numCache>
                <c:formatCode>General</c:formatCode>
                <c:ptCount val="5"/>
                <c:pt idx="0">
                  <c:v>24</c:v>
                </c:pt>
                <c:pt idx="1">
                  <c:v>23</c:v>
                </c:pt>
                <c:pt idx="2">
                  <c:v>14</c:v>
                </c:pt>
                <c:pt idx="3">
                  <c:v>22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7C3-450D-AA82-FC1808C01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4879503"/>
        <c:axId val="774878671"/>
      </c:lineChart>
      <c:catAx>
        <c:axId val="77487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4878671"/>
        <c:crosses val="autoZero"/>
        <c:auto val="1"/>
        <c:lblAlgn val="ctr"/>
        <c:lblOffset val="100"/>
        <c:noMultiLvlLbl val="0"/>
      </c:catAx>
      <c:valAx>
        <c:axId val="774878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4879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Relación</a:t>
            </a:r>
            <a:r>
              <a:rPr lang="es-ES" sz="1600" baseline="0"/>
              <a:t> de publicaciones por curso académico </a:t>
            </a:r>
          </a:p>
          <a:p>
            <a:pPr>
              <a:defRPr/>
            </a:pPr>
            <a:r>
              <a:rPr lang="es-ES" sz="1600" baseline="0"/>
              <a:t>y Programa de Doctorado</a:t>
            </a:r>
            <a:endParaRPr lang="es-E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Indicadores!$O$42</c:f>
              <c:strCache>
                <c:ptCount val="1"/>
                <c:pt idx="0">
                  <c:v>Programa de Doctorado en Biología Fundamental y de Sistemas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Indicadores!$AW$2:$BA$2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Indicadores!$AW$42:$BA$42</c:f>
              <c:numCache>
                <c:formatCode>General</c:formatCode>
                <c:ptCount val="5"/>
                <c:pt idx="0">
                  <c:v>124</c:v>
                </c:pt>
                <c:pt idx="1">
                  <c:v>169</c:v>
                </c:pt>
                <c:pt idx="2">
                  <c:v>89</c:v>
                </c:pt>
                <c:pt idx="3">
                  <c:v>104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2-4379-8D92-E37B662F4D09}"/>
            </c:ext>
          </c:extLst>
        </c:ser>
        <c:ser>
          <c:idx val="1"/>
          <c:order val="1"/>
          <c:tx>
            <c:strRef>
              <c:f>Indicadores!$O$62</c:f>
              <c:strCache>
                <c:ptCount val="1"/>
                <c:pt idx="0">
                  <c:v>Programa de Doctorado en Ciencias de la Tierra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Indicadores!$AW$2:$BA$2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Indicadores!$AW$62:$BA$62</c:f>
              <c:numCache>
                <c:formatCode>General</c:formatCode>
                <c:ptCount val="5"/>
                <c:pt idx="0">
                  <c:v>34</c:v>
                </c:pt>
                <c:pt idx="1">
                  <c:v>30</c:v>
                </c:pt>
                <c:pt idx="2">
                  <c:v>3</c:v>
                </c:pt>
                <c:pt idx="3">
                  <c:v>42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2-4379-8D92-E37B662F4D09}"/>
            </c:ext>
          </c:extLst>
        </c:ser>
        <c:ser>
          <c:idx val="2"/>
          <c:order val="2"/>
          <c:tx>
            <c:strRef>
              <c:f>Indicadores!$O$74</c:f>
              <c:strCache>
                <c:ptCount val="1"/>
                <c:pt idx="0">
                  <c:v>Programa de Doctorado en Dinámica de Flujos Biogeoquímicos y sus Aplicaciones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Indicadores!$AW$2:$BA$2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Indicadores!$AW$74:$BA$74</c:f>
              <c:numCache>
                <c:formatCode>General</c:formatCode>
                <c:ptCount val="5"/>
                <c:pt idx="0">
                  <c:v>17</c:v>
                </c:pt>
                <c:pt idx="1">
                  <c:v>16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92-4379-8D92-E37B662F4D09}"/>
            </c:ext>
          </c:extLst>
        </c:ser>
        <c:ser>
          <c:idx val="3"/>
          <c:order val="3"/>
          <c:tx>
            <c:strRef>
              <c:f>Indicadores!$O$78</c:f>
              <c:strCache>
                <c:ptCount val="1"/>
                <c:pt idx="0">
                  <c:v>Programa de Doctorado en Estadística Matemática y Aplicada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Indicadores!$AW$2:$BA$2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Indicadores!$AW$78:$BA$78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30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92-4379-8D92-E37B662F4D09}"/>
            </c:ext>
          </c:extLst>
        </c:ser>
        <c:ser>
          <c:idx val="4"/>
          <c:order val="4"/>
          <c:tx>
            <c:strRef>
              <c:f>Indicadores!$O$86</c:f>
              <c:strCache>
                <c:ptCount val="1"/>
                <c:pt idx="0">
                  <c:v>Programa de Doctorado en Física y Ciencias del Espacio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Indicadores!$AW$2:$BA$2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Indicadores!$AW$86:$BA$86</c:f>
              <c:numCache>
                <c:formatCode>General</c:formatCode>
                <c:ptCount val="5"/>
                <c:pt idx="0">
                  <c:v>78</c:v>
                </c:pt>
                <c:pt idx="1">
                  <c:v>85</c:v>
                </c:pt>
                <c:pt idx="2">
                  <c:v>82</c:v>
                </c:pt>
                <c:pt idx="3">
                  <c:v>53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92-4379-8D92-E37B662F4D09}"/>
            </c:ext>
          </c:extLst>
        </c:ser>
        <c:ser>
          <c:idx val="5"/>
          <c:order val="5"/>
          <c:tx>
            <c:strRef>
              <c:f>Indicadores!$O$96</c:f>
              <c:strCache>
                <c:ptCount val="1"/>
                <c:pt idx="0">
                  <c:v>Programa de Doctorado en Física y Matemáticas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Indicadores!$AW$2:$BA$2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Indicadores!$AW$96:$BA$96</c:f>
              <c:numCache>
                <c:formatCode>General</c:formatCode>
                <c:ptCount val="5"/>
                <c:pt idx="0">
                  <c:v>4</c:v>
                </c:pt>
                <c:pt idx="1">
                  <c:v>41</c:v>
                </c:pt>
                <c:pt idx="2">
                  <c:v>85</c:v>
                </c:pt>
                <c:pt idx="3">
                  <c:v>12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92-4379-8D92-E37B662F4D09}"/>
            </c:ext>
          </c:extLst>
        </c:ser>
        <c:ser>
          <c:idx val="6"/>
          <c:order val="6"/>
          <c:tx>
            <c:strRef>
              <c:f>Indicadores!$O$110</c:f>
              <c:strCache>
                <c:ptCount val="1"/>
                <c:pt idx="0">
                  <c:v>Programa de Doctorado en Ingeniería Civil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Indicadores!$AW$2:$BA$2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Indicadores!$AW$110:$BA$110</c:f>
              <c:numCache>
                <c:formatCode>General</c:formatCode>
                <c:ptCount val="5"/>
                <c:pt idx="0">
                  <c:v>73</c:v>
                </c:pt>
                <c:pt idx="1">
                  <c:v>24</c:v>
                </c:pt>
                <c:pt idx="2">
                  <c:v>68</c:v>
                </c:pt>
                <c:pt idx="3">
                  <c:v>25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92-4379-8D92-E37B662F4D09}"/>
            </c:ext>
          </c:extLst>
        </c:ser>
        <c:ser>
          <c:idx val="7"/>
          <c:order val="7"/>
          <c:tx>
            <c:strRef>
              <c:f>Indicadores!$O$120</c:f>
              <c:strCache>
                <c:ptCount val="1"/>
                <c:pt idx="0">
                  <c:v>Programa de Doctorado en Matemáticas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Indicadores!$AW$2:$BA$2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Indicadores!$AW$120:$BA$120</c:f>
              <c:numCache>
                <c:formatCode>General</c:formatCode>
                <c:ptCount val="5"/>
                <c:pt idx="0">
                  <c:v>11</c:v>
                </c:pt>
                <c:pt idx="1">
                  <c:v>8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292-4379-8D92-E37B662F4D09}"/>
            </c:ext>
          </c:extLst>
        </c:ser>
        <c:ser>
          <c:idx val="8"/>
          <c:order val="8"/>
          <c:tx>
            <c:strRef>
              <c:f>Indicadores!$O$125</c:f>
              <c:strCache>
                <c:ptCount val="1"/>
                <c:pt idx="0">
                  <c:v>Programa de Doctorado en Química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Indicadores!$AW$2:$BA$2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Indicadores!$AW$125:$BA$125</c:f>
              <c:numCache>
                <c:formatCode>General</c:formatCode>
                <c:ptCount val="5"/>
                <c:pt idx="0">
                  <c:v>124</c:v>
                </c:pt>
                <c:pt idx="1">
                  <c:v>113</c:v>
                </c:pt>
                <c:pt idx="2">
                  <c:v>120</c:v>
                </c:pt>
                <c:pt idx="3">
                  <c:v>45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292-4379-8D92-E37B662F4D09}"/>
            </c:ext>
          </c:extLst>
        </c:ser>
        <c:ser>
          <c:idx val="9"/>
          <c:order val="9"/>
          <c:tx>
            <c:strRef>
              <c:f>Indicadores!$O$139</c:f>
              <c:strCache>
                <c:ptCount val="1"/>
                <c:pt idx="0">
                  <c:v>Programa de Doctorado en Tecnologías de la información y la Comunicación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Indicadores!$AW$2:$BA$2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Indicadores!$AW$139:$BA$139</c:f>
              <c:numCache>
                <c:formatCode>General</c:formatCode>
                <c:ptCount val="5"/>
                <c:pt idx="0">
                  <c:v>361</c:v>
                </c:pt>
                <c:pt idx="1">
                  <c:v>97</c:v>
                </c:pt>
                <c:pt idx="2">
                  <c:v>84</c:v>
                </c:pt>
                <c:pt idx="3">
                  <c:v>104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292-4379-8D92-E37B662F4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8809631"/>
        <c:axId val="1095662527"/>
      </c:lineChart>
      <c:catAx>
        <c:axId val="918809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5662527"/>
        <c:crosses val="autoZero"/>
        <c:auto val="1"/>
        <c:lblAlgn val="ctr"/>
        <c:lblOffset val="100"/>
        <c:noMultiLvlLbl val="0"/>
      </c:catAx>
      <c:valAx>
        <c:axId val="109566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8809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Cotutelas por Programa de</a:t>
            </a:r>
            <a:r>
              <a:rPr lang="es-ES" baseline="0"/>
              <a:t> Doctorado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(Indicadores!$O$139,Indicadores!$O$125,Indicadores!$O$120,Indicadores!$O$110,Indicadores!$O$96,Indicadores!$O$86,Indicadores!$O$78,Indicadores!$O$74,Indicadores!$O$62,Indicadores!$O$42)</c:f>
              <c:strCache>
                <c:ptCount val="10"/>
                <c:pt idx="0">
                  <c:v>Programa de Doctorado en Tecnologías de la información y la Comunicación</c:v>
                </c:pt>
                <c:pt idx="1">
                  <c:v>Programa de Doctorado en Química</c:v>
                </c:pt>
                <c:pt idx="2">
                  <c:v>Programa de Doctorado en Matemáticas</c:v>
                </c:pt>
                <c:pt idx="3">
                  <c:v>Programa de Doctorado en Ingeniería Civil</c:v>
                </c:pt>
                <c:pt idx="4">
                  <c:v>Programa de Doctorado en Física y Matemáticas</c:v>
                </c:pt>
                <c:pt idx="5">
                  <c:v>Programa de Doctorado en Física y Ciencias del Espacio</c:v>
                </c:pt>
                <c:pt idx="6">
                  <c:v>Programa de Doctorado en Estadística Matemática y Aplicada</c:v>
                </c:pt>
                <c:pt idx="7">
                  <c:v>Programa de Doctorado en Dinámica de Flujos Biogeoquímicos y sus Aplicaciones</c:v>
                </c:pt>
                <c:pt idx="8">
                  <c:v>Programa de Doctorado en Ciencias de la Tierra</c:v>
                </c:pt>
                <c:pt idx="9">
                  <c:v>Programa de Doctorado en Biología Fundamental y de Sistemas</c:v>
                </c:pt>
              </c:strCache>
            </c:strRef>
          </c:cat>
          <c:val>
            <c:numRef>
              <c:f>(Indicadores!$AH$139,Indicadores!$AH$125,Indicadores!$AH$120,Indicadores!$AH$110,Indicadores!$AH$96,Indicadores!$AH$86,Indicadores!$AH$78,Indicadores!$AH$74,Indicadores!$AH$62,Indicadores!$AH$42)</c:f>
              <c:numCache>
                <c:formatCode>General</c:formatCode>
                <c:ptCount val="10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2</c:v>
                </c:pt>
                <c:pt idx="4">
                  <c:v>7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F-4D57-9F9F-C9B4E48BC0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917169167"/>
        <c:axId val="917169999"/>
      </c:barChart>
      <c:catAx>
        <c:axId val="917169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7169999"/>
        <c:crosses val="autoZero"/>
        <c:auto val="1"/>
        <c:lblAlgn val="ctr"/>
        <c:lblOffset val="100"/>
        <c:noMultiLvlLbl val="0"/>
      </c:catAx>
      <c:valAx>
        <c:axId val="91716999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17169167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Alumnos vinculados a la UGR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(Indicadores!$O$139,Indicadores!$O$125,Indicadores!$O$120,Indicadores!$O$110,Indicadores!$O$96,Indicadores!$O$86,Indicadores!$O$78,Indicadores!$O$74,Indicadores!$O$62,Indicadores!$O$42)</c:f>
              <c:strCache>
                <c:ptCount val="10"/>
                <c:pt idx="0">
                  <c:v>Programa de Doctorado en Tecnologías de la información y la Comunicación</c:v>
                </c:pt>
                <c:pt idx="1">
                  <c:v>Programa de Doctorado en Química</c:v>
                </c:pt>
                <c:pt idx="2">
                  <c:v>Programa de Doctorado en Matemáticas</c:v>
                </c:pt>
                <c:pt idx="3">
                  <c:v>Programa de Doctorado en Ingeniería Civil</c:v>
                </c:pt>
                <c:pt idx="4">
                  <c:v>Programa de Doctorado en Física y Matemáticas</c:v>
                </c:pt>
                <c:pt idx="5">
                  <c:v>Programa de Doctorado en Física y Ciencias del Espacio</c:v>
                </c:pt>
                <c:pt idx="6">
                  <c:v>Programa de Doctorado en Estadística Matemática y Aplicada</c:v>
                </c:pt>
                <c:pt idx="7">
                  <c:v>Programa de Doctorado en Dinámica de Flujos Biogeoquímicos y sus Aplicaciones</c:v>
                </c:pt>
                <c:pt idx="8">
                  <c:v>Programa de Doctorado en Ciencias de la Tierra</c:v>
                </c:pt>
                <c:pt idx="9">
                  <c:v>Programa de Doctorado en Biología Fundamental y de Sistemas</c:v>
                </c:pt>
              </c:strCache>
            </c:strRef>
          </c:cat>
          <c:val>
            <c:numRef>
              <c:f>(Indicadores!$AL$139,Indicadores!$AL$125,Indicadores!$AL$120,Indicadores!$AL$110,Indicadores!$AL$96,Indicadores!$AL$86,Indicadores!$AL$78,Indicadores!$AL$74,Indicadores!$AL$62,Indicadores!$AL$42)</c:f>
              <c:numCache>
                <c:formatCode>General</c:formatCode>
                <c:ptCount val="10"/>
                <c:pt idx="0">
                  <c:v>68</c:v>
                </c:pt>
                <c:pt idx="1">
                  <c:v>45</c:v>
                </c:pt>
                <c:pt idx="2">
                  <c:v>5</c:v>
                </c:pt>
                <c:pt idx="3">
                  <c:v>31</c:v>
                </c:pt>
                <c:pt idx="4">
                  <c:v>17</c:v>
                </c:pt>
                <c:pt idx="5">
                  <c:v>35</c:v>
                </c:pt>
                <c:pt idx="6">
                  <c:v>11</c:v>
                </c:pt>
                <c:pt idx="7">
                  <c:v>8</c:v>
                </c:pt>
                <c:pt idx="8">
                  <c:v>20</c:v>
                </c:pt>
                <c:pt idx="9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4-4190-A9A2-A6310D6C42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75785935"/>
        <c:axId val="775788015"/>
      </c:barChart>
      <c:catAx>
        <c:axId val="7757859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5788015"/>
        <c:crosses val="autoZero"/>
        <c:auto val="1"/>
        <c:lblAlgn val="ctr"/>
        <c:lblOffset val="100"/>
        <c:noMultiLvlLbl val="0"/>
      </c:catAx>
      <c:valAx>
        <c:axId val="7757880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75785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Alumnos con mención internacional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(Indicadores!$O$139,Indicadores!$O$125,Indicadores!$O$120,Indicadores!$O$110,Indicadores!$O$96,Indicadores!$O$86,Indicadores!$O$78,Indicadores!$O$74,Indicadores!$O$62,Indicadores!$O$42)</c:f>
              <c:strCache>
                <c:ptCount val="10"/>
                <c:pt idx="0">
                  <c:v>Programa de Doctorado en Tecnologías de la información y la Comunicación</c:v>
                </c:pt>
                <c:pt idx="1">
                  <c:v>Programa de Doctorado en Química</c:v>
                </c:pt>
                <c:pt idx="2">
                  <c:v>Programa de Doctorado en Matemáticas</c:v>
                </c:pt>
                <c:pt idx="3">
                  <c:v>Programa de Doctorado en Ingeniería Civil</c:v>
                </c:pt>
                <c:pt idx="4">
                  <c:v>Programa de Doctorado en Física y Matemáticas</c:v>
                </c:pt>
                <c:pt idx="5">
                  <c:v>Programa de Doctorado en Física y Ciencias del Espacio</c:v>
                </c:pt>
                <c:pt idx="6">
                  <c:v>Programa de Doctorado en Estadística Matemática y Aplicada</c:v>
                </c:pt>
                <c:pt idx="7">
                  <c:v>Programa de Doctorado en Dinámica de Flujos Biogeoquímicos y sus Aplicaciones</c:v>
                </c:pt>
                <c:pt idx="8">
                  <c:v>Programa de Doctorado en Ciencias de la Tierra</c:v>
                </c:pt>
                <c:pt idx="9">
                  <c:v>Programa de Doctorado en Biología Fundamental y de Sistemas</c:v>
                </c:pt>
              </c:strCache>
            </c:strRef>
          </c:cat>
          <c:val>
            <c:numRef>
              <c:f>(Indicadores!$AM$139,Indicadores!$AM$125,Indicadores!$AM$120,Indicadores!$AM$110,Indicadores!$AM$96,Indicadores!$AM$86,Indicadores!$AM$78,Indicadores!$AM$74,Indicadores!$AM$62,Indicadores!$AM$42)</c:f>
              <c:numCache>
                <c:formatCode>General</c:formatCode>
                <c:ptCount val="10"/>
                <c:pt idx="0">
                  <c:v>38</c:v>
                </c:pt>
                <c:pt idx="1">
                  <c:v>29</c:v>
                </c:pt>
                <c:pt idx="2">
                  <c:v>3</c:v>
                </c:pt>
                <c:pt idx="3">
                  <c:v>14</c:v>
                </c:pt>
                <c:pt idx="4">
                  <c:v>16</c:v>
                </c:pt>
                <c:pt idx="5">
                  <c:v>24</c:v>
                </c:pt>
                <c:pt idx="6">
                  <c:v>6</c:v>
                </c:pt>
                <c:pt idx="7">
                  <c:v>7</c:v>
                </c:pt>
                <c:pt idx="8">
                  <c:v>13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8-48F9-A7B9-CE02786D83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24071279"/>
        <c:axId val="1124083759"/>
      </c:barChart>
      <c:catAx>
        <c:axId val="11240712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24083759"/>
        <c:crosses val="autoZero"/>
        <c:auto val="1"/>
        <c:lblAlgn val="ctr"/>
        <c:lblOffset val="100"/>
        <c:noMultiLvlLbl val="0"/>
      </c:catAx>
      <c:valAx>
        <c:axId val="112408375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24071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Tesis publicadas en Digibug,</a:t>
            </a:r>
            <a:r>
              <a:rPr lang="es-ES" baseline="0"/>
              <a:t> TESEO y Dialnet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Indicadores!$AQ$1</c:f>
              <c:strCache>
                <c:ptCount val="1"/>
                <c:pt idx="0">
                  <c:v>Tesis en Digibug</c:v>
                </c:pt>
              </c:strCache>
            </c:strRef>
          </c:tx>
          <c:spPr>
            <a:gradFill>
              <a:gsLst>
                <a:gs pos="0">
                  <a:srgbClr val="C10B0B"/>
                </a:gs>
                <a:gs pos="52000">
                  <a:srgbClr val="8E0808"/>
                </a:gs>
                <a:gs pos="100000">
                  <a:srgbClr val="57050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(Indicadores!$O$42,Indicadores!$O$62,Indicadores!$O$74,Indicadores!$O$78,Indicadores!$O$86,Indicadores!$O$96,Indicadores!$O$110,Indicadores!$O$120,Indicadores!$O$125,Indicadores!$O$139)</c:f>
              <c:strCache>
                <c:ptCount val="10"/>
                <c:pt idx="0">
                  <c:v>Programa de Doctorado en Biología Fundamental y de Sistemas</c:v>
                </c:pt>
                <c:pt idx="1">
                  <c:v>Programa de Doctorado en Ciencias de la Tierra</c:v>
                </c:pt>
                <c:pt idx="2">
                  <c:v>Programa de Doctorado en Dinámica de Flujos Biogeoquímicos y sus Aplicaciones</c:v>
                </c:pt>
                <c:pt idx="3">
                  <c:v>Programa de Doctorado en Estadística Matemática y Aplicada</c:v>
                </c:pt>
                <c:pt idx="4">
                  <c:v>Programa de Doctorado en Física y Ciencias del Espacio</c:v>
                </c:pt>
                <c:pt idx="5">
                  <c:v>Programa de Doctorado en Física y Matemáticas</c:v>
                </c:pt>
                <c:pt idx="6">
                  <c:v>Programa de Doctorado en Ingeniería Civil</c:v>
                </c:pt>
                <c:pt idx="7">
                  <c:v>Programa de Doctorado en Matemáticas</c:v>
                </c:pt>
                <c:pt idx="8">
                  <c:v>Programa de Doctorado en Química</c:v>
                </c:pt>
                <c:pt idx="9">
                  <c:v>Programa de Doctorado en Tecnologías de la información y la Comunicación</c:v>
                </c:pt>
              </c:strCache>
            </c:strRef>
          </c:cat>
          <c:val>
            <c:numRef>
              <c:f>(Indicadores!$AQ$42,Indicadores!$AQ$62,Indicadores!$AQ$74,Indicadores!$AQ$78,Indicadores!$AQ$86,Indicadores!$AQ$96,Indicadores!$AQ$110,Indicadores!$AQ$120,Indicadores!$AQ$125,Indicadores!$AQ$139)</c:f>
              <c:numCache>
                <c:formatCode>General</c:formatCode>
                <c:ptCount val="10"/>
                <c:pt idx="0">
                  <c:v>77</c:v>
                </c:pt>
                <c:pt idx="1">
                  <c:v>29</c:v>
                </c:pt>
                <c:pt idx="2">
                  <c:v>10</c:v>
                </c:pt>
                <c:pt idx="3">
                  <c:v>12</c:v>
                </c:pt>
                <c:pt idx="4">
                  <c:v>48</c:v>
                </c:pt>
                <c:pt idx="5">
                  <c:v>26</c:v>
                </c:pt>
                <c:pt idx="6">
                  <c:v>37</c:v>
                </c:pt>
                <c:pt idx="7">
                  <c:v>9</c:v>
                </c:pt>
                <c:pt idx="8">
                  <c:v>56</c:v>
                </c:pt>
                <c:pt idx="9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7-46EB-90F6-12C37D5B52A6}"/>
            </c:ext>
          </c:extLst>
        </c:ser>
        <c:ser>
          <c:idx val="1"/>
          <c:order val="1"/>
          <c:tx>
            <c:strRef>
              <c:f>Indicadores!$AR$1</c:f>
              <c:strCache>
                <c:ptCount val="1"/>
                <c:pt idx="0">
                  <c:v>Tesis en TESEO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(Indicadores!$O$42,Indicadores!$O$62,Indicadores!$O$74,Indicadores!$O$78,Indicadores!$O$86,Indicadores!$O$96,Indicadores!$O$110,Indicadores!$O$120,Indicadores!$O$125,Indicadores!$O$139)</c:f>
              <c:strCache>
                <c:ptCount val="10"/>
                <c:pt idx="0">
                  <c:v>Programa de Doctorado en Biología Fundamental y de Sistemas</c:v>
                </c:pt>
                <c:pt idx="1">
                  <c:v>Programa de Doctorado en Ciencias de la Tierra</c:v>
                </c:pt>
                <c:pt idx="2">
                  <c:v>Programa de Doctorado en Dinámica de Flujos Biogeoquímicos y sus Aplicaciones</c:v>
                </c:pt>
                <c:pt idx="3">
                  <c:v>Programa de Doctorado en Estadística Matemática y Aplicada</c:v>
                </c:pt>
                <c:pt idx="4">
                  <c:v>Programa de Doctorado en Física y Ciencias del Espacio</c:v>
                </c:pt>
                <c:pt idx="5">
                  <c:v>Programa de Doctorado en Física y Matemáticas</c:v>
                </c:pt>
                <c:pt idx="6">
                  <c:v>Programa de Doctorado en Ingeniería Civil</c:v>
                </c:pt>
                <c:pt idx="7">
                  <c:v>Programa de Doctorado en Matemáticas</c:v>
                </c:pt>
                <c:pt idx="8">
                  <c:v>Programa de Doctorado en Química</c:v>
                </c:pt>
                <c:pt idx="9">
                  <c:v>Programa de Doctorado en Tecnologías de la información y la Comunicación</c:v>
                </c:pt>
              </c:strCache>
            </c:strRef>
          </c:cat>
          <c:val>
            <c:numRef>
              <c:f>(Indicadores!$AR$42,Indicadores!$AR$62,Indicadores!$AR$74,Indicadores!$AR$78,Indicadores!$AR$86,Indicadores!$AR$96,Indicadores!$AR$110,Indicadores!$AR$120,Indicadores!$AR$125,Indicadores!$AR$139)</c:f>
              <c:numCache>
                <c:formatCode>General</c:formatCode>
                <c:ptCount val="10"/>
                <c:pt idx="0">
                  <c:v>33</c:v>
                </c:pt>
                <c:pt idx="1">
                  <c:v>8</c:v>
                </c:pt>
                <c:pt idx="2">
                  <c:v>4</c:v>
                </c:pt>
                <c:pt idx="3">
                  <c:v>2</c:v>
                </c:pt>
                <c:pt idx="4">
                  <c:v>20</c:v>
                </c:pt>
                <c:pt idx="5">
                  <c:v>8</c:v>
                </c:pt>
                <c:pt idx="6">
                  <c:v>10</c:v>
                </c:pt>
                <c:pt idx="7">
                  <c:v>5</c:v>
                </c:pt>
                <c:pt idx="8">
                  <c:v>16</c:v>
                </c:pt>
                <c:pt idx="9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7-46EB-90F6-12C37D5B52A6}"/>
            </c:ext>
          </c:extLst>
        </c:ser>
        <c:ser>
          <c:idx val="2"/>
          <c:order val="2"/>
          <c:tx>
            <c:strRef>
              <c:f>Indicadores!$AS$1</c:f>
              <c:strCache>
                <c:ptCount val="1"/>
                <c:pt idx="0">
                  <c:v>Tesis en Dialnet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67000"/>
                  </a:schemeClr>
                </a:gs>
                <a:gs pos="48000">
                  <a:schemeClr val="accent3">
                    <a:lumMod val="97000"/>
                    <a:lumOff val="3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(Indicadores!$O$42,Indicadores!$O$62,Indicadores!$O$74,Indicadores!$O$78,Indicadores!$O$86,Indicadores!$O$96,Indicadores!$O$110,Indicadores!$O$120,Indicadores!$O$125,Indicadores!$O$139)</c:f>
              <c:strCache>
                <c:ptCount val="10"/>
                <c:pt idx="0">
                  <c:v>Programa de Doctorado en Biología Fundamental y de Sistemas</c:v>
                </c:pt>
                <c:pt idx="1">
                  <c:v>Programa de Doctorado en Ciencias de la Tierra</c:v>
                </c:pt>
                <c:pt idx="2">
                  <c:v>Programa de Doctorado en Dinámica de Flujos Biogeoquímicos y sus Aplicaciones</c:v>
                </c:pt>
                <c:pt idx="3">
                  <c:v>Programa de Doctorado en Estadística Matemática y Aplicada</c:v>
                </c:pt>
                <c:pt idx="4">
                  <c:v>Programa de Doctorado en Física y Ciencias del Espacio</c:v>
                </c:pt>
                <c:pt idx="5">
                  <c:v>Programa de Doctorado en Física y Matemáticas</c:v>
                </c:pt>
                <c:pt idx="6">
                  <c:v>Programa de Doctorado en Ingeniería Civil</c:v>
                </c:pt>
                <c:pt idx="7">
                  <c:v>Programa de Doctorado en Matemáticas</c:v>
                </c:pt>
                <c:pt idx="8">
                  <c:v>Programa de Doctorado en Química</c:v>
                </c:pt>
                <c:pt idx="9">
                  <c:v>Programa de Doctorado en Tecnologías de la información y la Comunicación</c:v>
                </c:pt>
              </c:strCache>
            </c:strRef>
          </c:cat>
          <c:val>
            <c:numRef>
              <c:f>(Indicadores!$AS$42,Indicadores!$AS$62,Indicadores!$AS$74,Indicadores!$AS$78,Indicadores!$AS$86,Indicadores!$AS$96,Indicadores!$AS$110,Indicadores!$AS$120,Indicadores!$AS$125,Indicadores!$AS$139)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07-46EB-90F6-12C37D5B52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75782607"/>
        <c:axId val="775785519"/>
      </c:barChart>
      <c:catAx>
        <c:axId val="775782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5785519"/>
        <c:crosses val="autoZero"/>
        <c:auto val="1"/>
        <c:lblAlgn val="ctr"/>
        <c:lblOffset val="100"/>
        <c:noMultiLvlLbl val="0"/>
      </c:catAx>
      <c:valAx>
        <c:axId val="77578551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75782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Promedio de publicaciones por alumno y </a:t>
            </a:r>
          </a:p>
          <a:p>
            <a:pPr>
              <a:defRPr/>
            </a:pPr>
            <a:r>
              <a:rPr lang="es-ES"/>
              <a:t>Programa</a:t>
            </a:r>
            <a:r>
              <a:rPr lang="es-ES" baseline="0"/>
              <a:t> de Doctorado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Indicadores!$O$42</c:f>
              <c:strCache>
                <c:ptCount val="1"/>
                <c:pt idx="0">
                  <c:v>Programa de Doctorado en Biología Fundamental y de Sistemas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Indicadores!$BG$42</c:f>
              <c:numCache>
                <c:formatCode>0.0</c:formatCode>
                <c:ptCount val="1"/>
                <c:pt idx="0">
                  <c:v>7.1470588235294121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D1-4B08-9F04-A36462D8376F}"/>
            </c:ext>
          </c:extLst>
        </c:ser>
        <c:ser>
          <c:idx val="1"/>
          <c:order val="1"/>
          <c:tx>
            <c:strRef>
              <c:f>Indicadores!$O$62</c:f>
              <c:strCache>
                <c:ptCount val="1"/>
                <c:pt idx="0">
                  <c:v>Programa de Doctorado en Ciencias de la Tierra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Indicadores!$BG$62</c:f>
              <c:numCache>
                <c:formatCode>0.0</c:formatCode>
                <c:ptCount val="1"/>
                <c:pt idx="0">
                  <c:v>5.1904761904761907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D1-4B08-9F04-A36462D8376F}"/>
            </c:ext>
          </c:extLst>
        </c:ser>
        <c:ser>
          <c:idx val="2"/>
          <c:order val="2"/>
          <c:tx>
            <c:strRef>
              <c:f>Indicadores!$O$74</c:f>
              <c:strCache>
                <c:ptCount val="1"/>
                <c:pt idx="0">
                  <c:v>Programa de Doctorado en Dinámica de Flujos Biogeoquímicos y sus Aplicaciones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Indicadores!$BG$74</c:f>
              <c:numCache>
                <c:formatCode>0.0</c:formatCode>
                <c:ptCount val="1"/>
                <c:pt idx="0">
                  <c:v>5.625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D1-4B08-9F04-A36462D8376F}"/>
            </c:ext>
          </c:extLst>
        </c:ser>
        <c:ser>
          <c:idx val="3"/>
          <c:order val="3"/>
          <c:tx>
            <c:strRef>
              <c:f>Indicadores!$O$78</c:f>
              <c:strCache>
                <c:ptCount val="1"/>
                <c:pt idx="0">
                  <c:v>Programa de Doctorado en Estadística Matemática y Aplicada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Indicadores!$BG$78</c:f>
              <c:numCache>
                <c:formatCode>0.0</c:formatCode>
                <c:ptCount val="1"/>
                <c:pt idx="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D1-4B08-9F04-A36462D8376F}"/>
            </c:ext>
          </c:extLst>
        </c:ser>
        <c:ser>
          <c:idx val="4"/>
          <c:order val="4"/>
          <c:tx>
            <c:strRef>
              <c:f>Indicadores!$O$86</c:f>
              <c:strCache>
                <c:ptCount val="1"/>
                <c:pt idx="0">
                  <c:v>Programa de Doctorado en Física y Ciencias del Espacio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Indicadores!$BG$86</c:f>
              <c:numCache>
                <c:formatCode>0.0</c:formatCode>
                <c:ptCount val="1"/>
                <c:pt idx="0">
                  <c:v>8.5142857142857142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D1-4B08-9F04-A36462D8376F}"/>
            </c:ext>
          </c:extLst>
        </c:ser>
        <c:ser>
          <c:idx val="5"/>
          <c:order val="5"/>
          <c:tx>
            <c:strRef>
              <c:f>Indicadores!$O$96</c:f>
              <c:strCache>
                <c:ptCount val="1"/>
                <c:pt idx="0">
                  <c:v>Programa de Doctorado en Física y Matemáticas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Indicadores!$BG$96</c:f>
              <c:numCache>
                <c:formatCode>0.0</c:formatCode>
                <c:ptCount val="1"/>
                <c:pt idx="0">
                  <c:v>7.4736842105263159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D1-4B08-9F04-A36462D8376F}"/>
            </c:ext>
          </c:extLst>
        </c:ser>
        <c:ser>
          <c:idx val="6"/>
          <c:order val="6"/>
          <c:tx>
            <c:strRef>
              <c:f>Indicadores!$O$110</c:f>
              <c:strCache>
                <c:ptCount val="1"/>
                <c:pt idx="0">
                  <c:v>Programa de Doctorado en Ingeniería Civil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Indicadores!$BG$110</c:f>
              <c:numCache>
                <c:formatCode>0.0</c:formatCode>
                <c:ptCount val="1"/>
                <c:pt idx="0">
                  <c:v>6.129032258064516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D1-4B08-9F04-A36462D8376F}"/>
            </c:ext>
          </c:extLst>
        </c:ser>
        <c:ser>
          <c:idx val="7"/>
          <c:order val="7"/>
          <c:tx>
            <c:strRef>
              <c:f>Indicadores!$O$120</c:f>
              <c:strCache>
                <c:ptCount val="1"/>
                <c:pt idx="0">
                  <c:v>Programa de Doctorado en Matemáticas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Indicadores!$BG$120</c:f>
              <c:numCache>
                <c:formatCode>0.0</c:formatCode>
                <c:ptCount val="1"/>
                <c:pt idx="0">
                  <c:v>3.5714285714285716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D1-4B08-9F04-A36462D8376F}"/>
            </c:ext>
          </c:extLst>
        </c:ser>
        <c:ser>
          <c:idx val="8"/>
          <c:order val="8"/>
          <c:tx>
            <c:strRef>
              <c:f>Indicadores!$O$125</c:f>
              <c:strCache>
                <c:ptCount val="1"/>
                <c:pt idx="0">
                  <c:v>Programa de Doctorado en Química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Indicadores!$BG$125</c:f>
              <c:numCache>
                <c:formatCode>0.0</c:formatCode>
                <c:ptCount val="1"/>
                <c:pt idx="0">
                  <c:v>9.1363636363636367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D1-4B08-9F04-A36462D8376F}"/>
            </c:ext>
          </c:extLst>
        </c:ser>
        <c:ser>
          <c:idx val="9"/>
          <c:order val="9"/>
          <c:tx>
            <c:strRef>
              <c:f>Indicadores!$O$139</c:f>
              <c:strCache>
                <c:ptCount val="1"/>
                <c:pt idx="0">
                  <c:v>Programa de Doctorado en Tecnologías de la información y la Comunicación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Indicadores!$BG$139</c:f>
              <c:numCache>
                <c:formatCode>0.0</c:formatCode>
                <c:ptCount val="1"/>
                <c:pt idx="0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D1-4B08-9F04-A36462D837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13192255"/>
        <c:axId val="1113189343"/>
      </c:barChart>
      <c:catAx>
        <c:axId val="111319225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3189343"/>
        <c:crosses val="autoZero"/>
        <c:auto val="1"/>
        <c:lblAlgn val="ctr"/>
        <c:lblOffset val="100"/>
        <c:noMultiLvlLbl val="0"/>
      </c:catAx>
      <c:valAx>
        <c:axId val="111318934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3192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Promedio de publicaciones por Programa de Doctorado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Indicadores!$O$42</c:f>
              <c:strCache>
                <c:ptCount val="1"/>
                <c:pt idx="0">
                  <c:v>Programa de Doctorado en Biología Fundamental y de Sistemas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Indicadores!$BM$42</c:f>
              <c:numCache>
                <c:formatCode>0.0</c:formatCode>
                <c:ptCount val="1"/>
                <c:pt idx="0">
                  <c:v>25.315789473684209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1-49C4-94B9-3FC1D35F3012}"/>
            </c:ext>
          </c:extLst>
        </c:ser>
        <c:ser>
          <c:idx val="1"/>
          <c:order val="1"/>
          <c:tx>
            <c:strRef>
              <c:f>Indicadores!$O$62</c:f>
              <c:strCache>
                <c:ptCount val="1"/>
                <c:pt idx="0">
                  <c:v>Programa de Doctorado en Ciencias de la Tierra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Indicadores!$BM$62</c:f>
              <c:numCache>
                <c:formatCode>0.0</c:formatCode>
                <c:ptCount val="1"/>
                <c:pt idx="0">
                  <c:v>9.6363636363636367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81-49C4-94B9-3FC1D35F3012}"/>
            </c:ext>
          </c:extLst>
        </c:ser>
        <c:ser>
          <c:idx val="2"/>
          <c:order val="2"/>
          <c:tx>
            <c:strRef>
              <c:f>Indicadores!$O$74</c:f>
              <c:strCache>
                <c:ptCount val="1"/>
                <c:pt idx="0">
                  <c:v>Programa de Doctorado en Dinámica de Flujos Biogeoquímicos y sus Aplicaciones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Indicadores!$BM$74</c:f>
              <c:numCache>
                <c:formatCode>0.0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81-49C4-94B9-3FC1D35F3012}"/>
            </c:ext>
          </c:extLst>
        </c:ser>
        <c:ser>
          <c:idx val="3"/>
          <c:order val="3"/>
          <c:tx>
            <c:strRef>
              <c:f>Indicadores!$O$78</c:f>
              <c:strCache>
                <c:ptCount val="1"/>
                <c:pt idx="0">
                  <c:v>Programa de Doctorado en Estadística Matemática y Aplicada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Indicadores!$BM$78</c:f>
              <c:numCache>
                <c:formatCode>0.0</c:formatCode>
                <c:ptCount val="1"/>
                <c:pt idx="0">
                  <c:v>5.5714285714285712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81-49C4-94B9-3FC1D35F3012}"/>
            </c:ext>
          </c:extLst>
        </c:ser>
        <c:ser>
          <c:idx val="4"/>
          <c:order val="4"/>
          <c:tx>
            <c:strRef>
              <c:f>Indicadores!$O$86</c:f>
              <c:strCache>
                <c:ptCount val="1"/>
                <c:pt idx="0">
                  <c:v>Programa de Doctorado en Física y Ciencias del Espacio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Indicadores!$BM$86</c:f>
              <c:numCache>
                <c:formatCode>0.0</c:formatCode>
                <c:ptCount val="1"/>
                <c:pt idx="0">
                  <c:v>33.25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81-49C4-94B9-3FC1D35F3012}"/>
            </c:ext>
          </c:extLst>
        </c:ser>
        <c:ser>
          <c:idx val="5"/>
          <c:order val="5"/>
          <c:tx>
            <c:strRef>
              <c:f>Indicadores!$O$96</c:f>
              <c:strCache>
                <c:ptCount val="1"/>
                <c:pt idx="0">
                  <c:v>Programa de Doctorado en Física y Matemáticas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Indicadores!$BM$96</c:f>
              <c:numCache>
                <c:formatCode>0.0</c:formatCode>
                <c:ptCount val="1"/>
                <c:pt idx="0">
                  <c:v>10.23076923076923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81-49C4-94B9-3FC1D35F3012}"/>
            </c:ext>
          </c:extLst>
        </c:ser>
        <c:ser>
          <c:idx val="6"/>
          <c:order val="6"/>
          <c:tx>
            <c:strRef>
              <c:f>Indicadores!$O$110</c:f>
              <c:strCache>
                <c:ptCount val="1"/>
                <c:pt idx="0">
                  <c:v>Programa de Doctorado en Ingeniería Civil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Indicadores!$BM$110</c:f>
              <c:numCache>
                <c:formatCode>0.0</c:formatCode>
                <c:ptCount val="1"/>
                <c:pt idx="0">
                  <c:v>21.111111111111111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81-49C4-94B9-3FC1D35F3012}"/>
            </c:ext>
          </c:extLst>
        </c:ser>
        <c:ser>
          <c:idx val="7"/>
          <c:order val="7"/>
          <c:tx>
            <c:strRef>
              <c:f>Indicadores!$O$120</c:f>
              <c:strCache>
                <c:ptCount val="1"/>
                <c:pt idx="0">
                  <c:v>Programa de Doctorado en Matemáticas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Indicadores!$BM$120</c:f>
              <c:numCache>
                <c:formatCode>0.0</c:formatCode>
                <c:ptCount val="1"/>
                <c:pt idx="0">
                  <c:v>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581-49C4-94B9-3FC1D35F3012}"/>
            </c:ext>
          </c:extLst>
        </c:ser>
        <c:ser>
          <c:idx val="8"/>
          <c:order val="8"/>
          <c:tx>
            <c:strRef>
              <c:f>Indicadores!$O$125</c:f>
              <c:strCache>
                <c:ptCount val="1"/>
                <c:pt idx="0">
                  <c:v>Programa de Doctorado en Química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Indicadores!$BM$125</c:f>
              <c:numCache>
                <c:formatCode>0.0</c:formatCode>
                <c:ptCount val="1"/>
                <c:pt idx="0">
                  <c:v>37.53846153846154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81-49C4-94B9-3FC1D35F3012}"/>
            </c:ext>
          </c:extLst>
        </c:ser>
        <c:ser>
          <c:idx val="9"/>
          <c:order val="9"/>
          <c:tx>
            <c:strRef>
              <c:f>Indicadores!$O$139</c:f>
              <c:strCache>
                <c:ptCount val="1"/>
                <c:pt idx="0">
                  <c:v>Programa de Doctorado en Tecnologías de la información y la Comunicación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Indicadores!$BM$139</c:f>
              <c:numCache>
                <c:formatCode>0.0</c:formatCode>
                <c:ptCount val="1"/>
                <c:pt idx="0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581-49C4-94B9-3FC1D35F30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60667743"/>
        <c:axId val="1160672319"/>
      </c:barChart>
      <c:catAx>
        <c:axId val="116066774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60672319"/>
        <c:crosses val="autoZero"/>
        <c:auto val="1"/>
        <c:lblAlgn val="ctr"/>
        <c:lblOffset val="100"/>
        <c:noMultiLvlLbl val="0"/>
      </c:catAx>
      <c:valAx>
        <c:axId val="116067231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6066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cap="none" baseline="0"/>
              <a:t>Número de publicaciones por género del alumno</a:t>
            </a:r>
            <a:endParaRPr lang="es-ES" sz="1200"/>
          </a:p>
        </c:rich>
      </c:tx>
      <c:layout>
        <c:manualLayout>
          <c:xMode val="edge"/>
          <c:yMode val="edge"/>
          <c:x val="0.1129264747476733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spPr>
            <a:gradFill>
              <a:gsLst>
                <a:gs pos="0">
                  <a:schemeClr val="accent3">
                    <a:lumMod val="67000"/>
                  </a:schemeClr>
                </a:gs>
                <a:gs pos="46000">
                  <a:schemeClr val="accent3">
                    <a:lumMod val="97000"/>
                    <a:lumOff val="3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5400000" scaled="1"/>
            </a:gradFill>
          </c:spPr>
          <c:dPt>
            <c:idx val="0"/>
            <c:bubble3D val="0"/>
            <c:spPr>
              <a:gradFill flip="none" rotWithShape="1">
                <a:gsLst>
                  <a:gs pos="0">
                    <a:schemeClr val="accent5">
                      <a:lumMod val="67000"/>
                    </a:schemeClr>
                  </a:gs>
                  <a:gs pos="45000">
                    <a:schemeClr val="accent5">
                      <a:lumMod val="97000"/>
                      <a:lumOff val="3000"/>
                    </a:schemeClr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 scaled="1"/>
                <a:tileRect/>
              </a:gradFill>
              <a:ln w="19050">
                <a:solidFill>
                  <a:schemeClr val="lt1"/>
                </a:solidFill>
              </a:ln>
              <a:effectLst>
                <a:innerShdw blurRad="114300">
                  <a:schemeClr val="tx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CF-4585-8857-3DBCB233310E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3">
                      <a:lumMod val="67000"/>
                    </a:schemeClr>
                  </a:gs>
                  <a:gs pos="46000">
                    <a:schemeClr val="accent3">
                      <a:lumMod val="97000"/>
                      <a:lumOff val="3000"/>
                    </a:schemeClr>
                  </a:gs>
                  <a:gs pos="100000">
                    <a:schemeClr val="accent3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19050">
                <a:solidFill>
                  <a:schemeClr val="lt1"/>
                </a:solidFill>
              </a:ln>
              <a:effectLst>
                <a:innerShdw blurRad="114300">
                  <a:schemeClr val="bg2">
                    <a:lumMod val="25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56CF-4585-8857-3DBCB233310E}"/>
              </c:ext>
            </c:extLst>
          </c:dPt>
          <c:dLbls>
            <c:dLbl>
              <c:idx val="0"/>
              <c:layout>
                <c:manualLayout>
                  <c:x val="-0.2033371549746123"/>
                  <c:y val="-1.5830781568970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CF-4585-8857-3DBCB233310E}"/>
                </c:ext>
              </c:extLst>
            </c:dLbl>
            <c:dLbl>
              <c:idx val="1"/>
              <c:layout>
                <c:manualLayout>
                  <c:x val="0.1919334883165166"/>
                  <c:y val="5.749781277340332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CF-4585-8857-3DBCB23331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Indicadores!$AU$2:$AV$2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(Indicadores!$AU$242,Indicadores!$AV$242)</c:f>
              <c:numCache>
                <c:formatCode>General</c:formatCode>
                <c:ptCount val="2"/>
                <c:pt idx="0">
                  <c:v>4571</c:v>
                </c:pt>
                <c:pt idx="1">
                  <c:v>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CF-4585-8857-3DBCB233310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919621124574548"/>
          <c:y val="0.42413130650335368"/>
          <c:w val="0.14146778250525224"/>
          <c:h val="0.17866360454943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u="none" strike="noStrike" baseline="0">
                <a:effectLst/>
              </a:rPr>
              <a:t>Programa de Doctorado en Biología </a:t>
            </a:r>
          </a:p>
          <a:p>
            <a:pPr>
              <a:defRPr/>
            </a:pPr>
            <a:r>
              <a:rPr lang="es-ES" sz="1400" b="0" i="0" u="none" strike="noStrike" baseline="0">
                <a:effectLst/>
              </a:rPr>
              <a:t>Fundamental y de Sistemas</a:t>
            </a:r>
            <a:endParaRPr lang="es-ES" sz="1400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Indicadores!$O$43:$T$61</c:f>
              <c:strCache>
                <c:ptCount val="19"/>
                <c:pt idx="0">
                  <c:v>Antioxidantes y Señalización por Especies de Oxígeno y Nitrógeno Reactivo en Plantas</c:v>
                </c:pt>
                <c:pt idx="1">
                  <c:v>Biología, Conservación y Gestión de la Fauna</c:v>
                </c:pt>
                <c:pt idx="2">
                  <c:v>Biología, Conservación y Gestión de la Flora</c:v>
                </c:pt>
                <c:pt idx="3">
                  <c:v>Bioquímica, Inmunología y Parasitología Molecular</c:v>
                </c:pt>
                <c:pt idx="4">
                  <c:v>Biología, Ecología Molecular y Biotecnología de las Interacciones Planta-Hongos Rizosféricos</c:v>
                </c:pt>
                <c:pt idx="5">
                  <c:v>Biología Molecular y Biotecnología de las Interacciones Planta-Bacteria</c:v>
                </c:pt>
                <c:pt idx="6">
                  <c:v>Bioquímica Vegetal y Fotosíntesis</c:v>
                </c:pt>
                <c:pt idx="7">
                  <c:v>Biotecnología y Fisiología de Cultivos de interés Agroalimentario</c:v>
                </c:pt>
                <c:pt idx="8">
                  <c:v>Ecología Acuática. Cambio Global y Redes Tróficas</c:v>
                </c:pt>
                <c:pt idx="9">
                  <c:v>Ecología Terrestre</c:v>
                </c:pt>
                <c:pt idx="10">
                  <c:v>Exopolisacáridos microbianos y microorganismos halófilos</c:v>
                </c:pt>
                <c:pt idx="11">
                  <c:v>Fisiología, Bioquímica y Biología Molecular del Estrés Abiótico en Plantas</c:v>
                </c:pt>
                <c:pt idx="12">
                  <c:v>Genética y Genómica funcional y Evolutiva</c:v>
                </c:pt>
                <c:pt idx="13">
                  <c:v>Geomicrobiología y Biogeoquímica</c:v>
                </c:pt>
                <c:pt idx="14">
                  <c:v>Genética y Metagenómica de Microorganismos</c:v>
                </c:pt>
                <c:pt idx="15">
                  <c:v>Metabolismo de nutrientes y energía de especies pecuarias</c:v>
                </c:pt>
                <c:pt idx="16">
                  <c:v>Microbiología ambiental</c:v>
                </c:pt>
                <c:pt idx="17">
                  <c:v>Neurobiología</c:v>
                </c:pt>
                <c:pt idx="18">
                  <c:v>Paleontología y Evolución</c:v>
                </c:pt>
              </c:strCache>
            </c:strRef>
          </c:cat>
          <c:val>
            <c:numRef>
              <c:f>Indicadores!$U$43:$U$61</c:f>
              <c:numCache>
                <c:formatCode>General</c:formatCode>
                <c:ptCount val="19"/>
                <c:pt idx="0">
                  <c:v>3</c:v>
                </c:pt>
                <c:pt idx="1">
                  <c:v>9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7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8</c:v>
                </c:pt>
                <c:pt idx="10">
                  <c:v>4</c:v>
                </c:pt>
                <c:pt idx="11">
                  <c:v>4</c:v>
                </c:pt>
                <c:pt idx="12">
                  <c:v>7</c:v>
                </c:pt>
                <c:pt idx="13">
                  <c:v>6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F-47F6-9A5D-F02C7C5A4E5D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Indicadores!$O$43:$T$61</c:f>
              <c:strCache>
                <c:ptCount val="19"/>
                <c:pt idx="0">
                  <c:v>Antioxidantes y Señalización por Especies de Oxígeno y Nitrógeno Reactivo en Plantas</c:v>
                </c:pt>
                <c:pt idx="1">
                  <c:v>Biología, Conservación y Gestión de la Fauna</c:v>
                </c:pt>
                <c:pt idx="2">
                  <c:v>Biología, Conservación y Gestión de la Flora</c:v>
                </c:pt>
                <c:pt idx="3">
                  <c:v>Bioquímica, Inmunología y Parasitología Molecular</c:v>
                </c:pt>
                <c:pt idx="4">
                  <c:v>Biología, Ecología Molecular y Biotecnología de las Interacciones Planta-Hongos Rizosféricos</c:v>
                </c:pt>
                <c:pt idx="5">
                  <c:v>Biología Molecular y Biotecnología de las Interacciones Planta-Bacteria</c:v>
                </c:pt>
                <c:pt idx="6">
                  <c:v>Bioquímica Vegetal y Fotosíntesis</c:v>
                </c:pt>
                <c:pt idx="7">
                  <c:v>Biotecnología y Fisiología de Cultivos de interés Agroalimentario</c:v>
                </c:pt>
                <c:pt idx="8">
                  <c:v>Ecología Acuática. Cambio Global y Redes Tróficas</c:v>
                </c:pt>
                <c:pt idx="9">
                  <c:v>Ecología Terrestre</c:v>
                </c:pt>
                <c:pt idx="10">
                  <c:v>Exopolisacáridos microbianos y microorganismos halófilos</c:v>
                </c:pt>
                <c:pt idx="11">
                  <c:v>Fisiología, Bioquímica y Biología Molecular del Estrés Abiótico en Plantas</c:v>
                </c:pt>
                <c:pt idx="12">
                  <c:v>Genética y Genómica funcional y Evolutiva</c:v>
                </c:pt>
                <c:pt idx="13">
                  <c:v>Geomicrobiología y Biogeoquímica</c:v>
                </c:pt>
                <c:pt idx="14">
                  <c:v>Genética y Metagenómica de Microorganismos</c:v>
                </c:pt>
                <c:pt idx="15">
                  <c:v>Metabolismo de nutrientes y energía de especies pecuarias</c:v>
                </c:pt>
                <c:pt idx="16">
                  <c:v>Microbiología ambiental</c:v>
                </c:pt>
                <c:pt idx="17">
                  <c:v>Neurobiología</c:v>
                </c:pt>
                <c:pt idx="18">
                  <c:v>Paleontología y Evolución</c:v>
                </c:pt>
              </c:strCache>
            </c:strRef>
          </c:cat>
          <c:val>
            <c:numRef>
              <c:f>Indicadores!$AT$43:$AT$61</c:f>
              <c:numCache>
                <c:formatCode>General</c:formatCode>
                <c:ptCount val="19"/>
                <c:pt idx="0">
                  <c:v>53</c:v>
                </c:pt>
                <c:pt idx="1">
                  <c:v>45</c:v>
                </c:pt>
                <c:pt idx="2">
                  <c:v>18</c:v>
                </c:pt>
                <c:pt idx="3">
                  <c:v>18</c:v>
                </c:pt>
                <c:pt idx="4">
                  <c:v>5</c:v>
                </c:pt>
                <c:pt idx="5">
                  <c:v>35</c:v>
                </c:pt>
                <c:pt idx="6">
                  <c:v>9</c:v>
                </c:pt>
                <c:pt idx="7">
                  <c:v>2</c:v>
                </c:pt>
                <c:pt idx="8">
                  <c:v>18</c:v>
                </c:pt>
                <c:pt idx="9">
                  <c:v>76</c:v>
                </c:pt>
                <c:pt idx="10">
                  <c:v>8</c:v>
                </c:pt>
                <c:pt idx="11">
                  <c:v>29</c:v>
                </c:pt>
                <c:pt idx="12">
                  <c:v>31</c:v>
                </c:pt>
                <c:pt idx="13">
                  <c:v>50</c:v>
                </c:pt>
                <c:pt idx="14">
                  <c:v>7</c:v>
                </c:pt>
                <c:pt idx="15">
                  <c:v>1</c:v>
                </c:pt>
                <c:pt idx="16">
                  <c:v>68</c:v>
                </c:pt>
                <c:pt idx="17">
                  <c:v>8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9F-47F6-9A5D-F02C7C5A4E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42212047"/>
        <c:axId val="1742211631"/>
      </c:barChart>
      <c:catAx>
        <c:axId val="1742212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42211631"/>
        <c:crosses val="autoZero"/>
        <c:auto val="1"/>
        <c:lblAlgn val="ctr"/>
        <c:lblOffset val="100"/>
        <c:noMultiLvlLbl val="0"/>
      </c:catAx>
      <c:valAx>
        <c:axId val="174221163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42212047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 i="0" u="none" strike="noStrike" baseline="0">
                <a:effectLst/>
              </a:rPr>
              <a:t>Programa de Doctorado en Ciencias de la Tierra</a:t>
            </a:r>
            <a:endParaRPr lang="es-ES" sz="1400" b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Indicadores!$O$63:$T$73</c:f>
              <c:strCache>
                <c:ptCount val="11"/>
                <c:pt idx="0">
                  <c:v>Geología aplicada a la obra civil y riesgo geológico</c:v>
                </c:pt>
                <c:pt idx="1">
                  <c:v>Sismología y Geofísica</c:v>
                </c:pt>
                <c:pt idx="2">
                  <c:v>Geología marina</c:v>
                </c:pt>
                <c:pt idx="3">
                  <c:v>Estratografía y Sedimentología</c:v>
                </c:pt>
                <c:pt idx="4">
                  <c:v>Edafología</c:v>
                </c:pt>
                <c:pt idx="5">
                  <c:v>Geología estructural y Tectónica</c:v>
                </c:pt>
                <c:pt idx="6">
                  <c:v>Geoquímica</c:v>
                </c:pt>
                <c:pt idx="7">
                  <c:v>Mineralogía</c:v>
                </c:pt>
                <c:pt idx="8">
                  <c:v>Paleo-climatología y dinámica atmosférica</c:v>
                </c:pt>
                <c:pt idx="9">
                  <c:v>Paleontología y Paleoecología</c:v>
                </c:pt>
                <c:pt idx="10">
                  <c:v>Petrogénesis y Yacimientos minerales</c:v>
                </c:pt>
              </c:strCache>
            </c:strRef>
          </c:cat>
          <c:val>
            <c:numRef>
              <c:f>Indicadores!$U$63:$U$73</c:f>
              <c:numCache>
                <c:formatCode>General</c:formatCode>
                <c:ptCount val="11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9-451D-A574-02B777AD2DB5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Indicadores!$O$63:$T$73</c:f>
              <c:strCache>
                <c:ptCount val="11"/>
                <c:pt idx="0">
                  <c:v>Geología aplicada a la obra civil y riesgo geológico</c:v>
                </c:pt>
                <c:pt idx="1">
                  <c:v>Sismología y Geofísica</c:v>
                </c:pt>
                <c:pt idx="2">
                  <c:v>Geología marina</c:v>
                </c:pt>
                <c:pt idx="3">
                  <c:v>Estratografía y Sedimentología</c:v>
                </c:pt>
                <c:pt idx="4">
                  <c:v>Edafología</c:v>
                </c:pt>
                <c:pt idx="5">
                  <c:v>Geología estructural y Tectónica</c:v>
                </c:pt>
                <c:pt idx="6">
                  <c:v>Geoquímica</c:v>
                </c:pt>
                <c:pt idx="7">
                  <c:v>Mineralogía</c:v>
                </c:pt>
                <c:pt idx="8">
                  <c:v>Paleo-climatología y dinámica atmosférica</c:v>
                </c:pt>
                <c:pt idx="9">
                  <c:v>Paleontología y Paleoecología</c:v>
                </c:pt>
                <c:pt idx="10">
                  <c:v>Petrogénesis y Yacimientos minerales</c:v>
                </c:pt>
              </c:strCache>
            </c:strRef>
          </c:cat>
          <c:val>
            <c:numRef>
              <c:f>Indicadores!$AT$63:$AT$73</c:f>
              <c:numCache>
                <c:formatCode>General</c:formatCode>
                <c:ptCount val="11"/>
                <c:pt idx="0">
                  <c:v>0</c:v>
                </c:pt>
                <c:pt idx="1">
                  <c:v>7</c:v>
                </c:pt>
                <c:pt idx="2">
                  <c:v>20</c:v>
                </c:pt>
                <c:pt idx="3">
                  <c:v>2</c:v>
                </c:pt>
                <c:pt idx="4">
                  <c:v>8</c:v>
                </c:pt>
                <c:pt idx="5">
                  <c:v>9</c:v>
                </c:pt>
                <c:pt idx="6">
                  <c:v>21</c:v>
                </c:pt>
                <c:pt idx="7">
                  <c:v>9</c:v>
                </c:pt>
                <c:pt idx="8">
                  <c:v>1</c:v>
                </c:pt>
                <c:pt idx="9">
                  <c:v>24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9-451D-A574-02B777AD2D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83820399"/>
        <c:axId val="1783823311"/>
      </c:barChart>
      <c:catAx>
        <c:axId val="1783820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3823311"/>
        <c:crosses val="autoZero"/>
        <c:auto val="1"/>
        <c:lblAlgn val="ctr"/>
        <c:lblOffset val="100"/>
        <c:noMultiLvlLbl val="0"/>
      </c:catAx>
      <c:valAx>
        <c:axId val="178382331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83820399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 i="0" u="none" strike="noStrike" baseline="0">
                <a:effectLst/>
              </a:rPr>
              <a:t>Programa de Doctorado en Dinámica de Flujos Bioquímicos y sus Aplicaciones</a:t>
            </a:r>
            <a:endParaRPr lang="es-ES" sz="1400" b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Indicadores!$O$75:$T$77</c:f>
              <c:strCache>
                <c:ptCount val="3"/>
                <c:pt idx="0">
                  <c:v>Gestión integral de recursos atmosféricos y marinos y de las infraestructuras para su aprovechamiento</c:v>
                </c:pt>
                <c:pt idx="1">
                  <c:v>Oceanografía física y ecosistemas marinos</c:v>
                </c:pt>
                <c:pt idx="2">
                  <c:v>Procesos litorales y evolución de los sistemas costeros</c:v>
                </c:pt>
              </c:strCache>
            </c:strRef>
          </c:cat>
          <c:val>
            <c:numRef>
              <c:f>Indicadores!$U$75:$U$77</c:f>
              <c:numCache>
                <c:formatCode>General</c:formatCode>
                <c:ptCount val="3"/>
                <c:pt idx="0">
                  <c:v>6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4-4B06-8F45-1A30A231B712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Indicadores!$O$75:$T$77</c:f>
              <c:strCache>
                <c:ptCount val="3"/>
                <c:pt idx="0">
                  <c:v>Gestión integral de recursos atmosféricos y marinos y de las infraestructuras para su aprovechamiento</c:v>
                </c:pt>
                <c:pt idx="1">
                  <c:v>Oceanografía física y ecosistemas marinos</c:v>
                </c:pt>
                <c:pt idx="2">
                  <c:v>Procesos litorales y evolución de los sistemas costeros</c:v>
                </c:pt>
              </c:strCache>
            </c:strRef>
          </c:cat>
          <c:val>
            <c:numRef>
              <c:f>Indicadores!$AT$75:$AT$77</c:f>
              <c:numCache>
                <c:formatCode>General</c:formatCode>
                <c:ptCount val="3"/>
                <c:pt idx="0">
                  <c:v>34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14-4B06-8F45-1A30A231B7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71752895"/>
        <c:axId val="1771754143"/>
      </c:barChart>
      <c:catAx>
        <c:axId val="1771752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71754143"/>
        <c:crosses val="autoZero"/>
        <c:auto val="1"/>
        <c:lblAlgn val="ctr"/>
        <c:lblOffset val="100"/>
        <c:noMultiLvlLbl val="0"/>
      </c:catAx>
      <c:valAx>
        <c:axId val="17717541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71752895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 i="0" u="none" strike="noStrike" baseline="0">
                <a:effectLst/>
              </a:rPr>
              <a:t>Programa de Doctorado en Estadística Matemática y Aplicada</a:t>
            </a:r>
            <a:endParaRPr lang="es-ES" sz="1400" b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Indicadores!$O$79:$T$85</c:f>
              <c:strCache>
                <c:ptCount val="7"/>
                <c:pt idx="0">
                  <c:v>Análisis multivariante e inferencia en procesos multivariantes</c:v>
                </c:pt>
                <c:pt idx="1">
                  <c:v>Análisis de datos funcionales</c:v>
                </c:pt>
                <c:pt idx="2">
                  <c:v>Modelos markovianos y fiabilidad de sistemas</c:v>
                </c:pt>
                <c:pt idx="3">
                  <c:v>Muestreo de poblaciones finitas</c:v>
                </c:pt>
                <c:pt idx="4">
                  <c:v>Teoremas límites funcionales para campos aleatorios y procesos Hilbert-valuados</c:v>
                </c:pt>
                <c:pt idx="5">
                  <c:v>Complejidad estructural y valores extremos en procesos espacio-temporales</c:v>
                </c:pt>
                <c:pt idx="6">
                  <c:v>Bioestadística</c:v>
                </c:pt>
              </c:strCache>
            </c:strRef>
          </c:cat>
          <c:val>
            <c:numRef>
              <c:f>Indicadores!$U$79:$U$85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C-4F38-95BE-2FEA3488D213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Indicadores!$O$79:$T$85</c:f>
              <c:strCache>
                <c:ptCount val="7"/>
                <c:pt idx="0">
                  <c:v>Análisis multivariante e inferencia en procesos multivariantes</c:v>
                </c:pt>
                <c:pt idx="1">
                  <c:v>Análisis de datos funcionales</c:v>
                </c:pt>
                <c:pt idx="2">
                  <c:v>Modelos markovianos y fiabilidad de sistemas</c:v>
                </c:pt>
                <c:pt idx="3">
                  <c:v>Muestreo de poblaciones finitas</c:v>
                </c:pt>
                <c:pt idx="4">
                  <c:v>Teoremas límites funcionales para campos aleatorios y procesos Hilbert-valuados</c:v>
                </c:pt>
                <c:pt idx="5">
                  <c:v>Complejidad estructural y valores extremos en procesos espacio-temporales</c:v>
                </c:pt>
                <c:pt idx="6">
                  <c:v>Bioestadística</c:v>
                </c:pt>
              </c:strCache>
            </c:strRef>
          </c:cat>
          <c:val>
            <c:numRef>
              <c:f>Indicadores!$AT$79:$AT$85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20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1C-4F38-95BE-2FEA3488D2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12083791"/>
        <c:axId val="1712087951"/>
      </c:barChart>
      <c:catAx>
        <c:axId val="1712083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2087951"/>
        <c:crosses val="autoZero"/>
        <c:auto val="1"/>
        <c:lblAlgn val="ctr"/>
        <c:lblOffset val="100"/>
        <c:noMultiLvlLbl val="0"/>
      </c:catAx>
      <c:valAx>
        <c:axId val="171208795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12083791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 i="0" u="none" strike="noStrike" baseline="0">
                <a:effectLst/>
              </a:rPr>
              <a:t>Programa de Doctorado en Física </a:t>
            </a:r>
          </a:p>
          <a:p>
            <a:pPr>
              <a:defRPr/>
            </a:pPr>
            <a:r>
              <a:rPr lang="es-ES" sz="1400" b="0" i="0" u="none" strike="noStrike" baseline="0">
                <a:effectLst/>
              </a:rPr>
              <a:t>y Ciencias del Espacio </a:t>
            </a:r>
            <a:endParaRPr lang="es-ES" sz="1400" b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Indicadores!$O$88:$T$95</c:f>
              <c:strCache>
                <c:ptCount val="8"/>
                <c:pt idx="0">
                  <c:v>Astrofísica Planetaria</c:v>
                </c:pt>
                <c:pt idx="1">
                  <c:v>Ciencia y Tecnología de Nanopartículas e Interfases</c:v>
                </c:pt>
                <c:pt idx="2">
                  <c:v>Ciencias Atmosféricas y Meteorología</c:v>
                </c:pt>
                <c:pt idx="3">
                  <c:v>Física Atómica, Molecular y Nuclear</c:v>
                </c:pt>
                <c:pt idx="4">
                  <c:v>Física de Dispositivos Electrónicos y Semiconductores</c:v>
                </c:pt>
                <c:pt idx="5">
                  <c:v>Física de Partículas, Astropartículas y Cosmología</c:v>
                </c:pt>
                <c:pt idx="6">
                  <c:v>Nucleosíntesis y Evolución Química de Galaxias</c:v>
                </c:pt>
                <c:pt idx="7">
                  <c:v>Óptica</c:v>
                </c:pt>
              </c:strCache>
            </c:strRef>
          </c:cat>
          <c:val>
            <c:numRef>
              <c:f>Indicadores!$U$88:$U$95</c:f>
              <c:numCache>
                <c:formatCode>General</c:formatCode>
                <c:ptCount val="8"/>
                <c:pt idx="0">
                  <c:v>6</c:v>
                </c:pt>
                <c:pt idx="1">
                  <c:v>8</c:v>
                </c:pt>
                <c:pt idx="2">
                  <c:v>8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2-4205-B892-8B78DDD51AD1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Indicadores!$O$88:$T$95</c:f>
              <c:strCache>
                <c:ptCount val="8"/>
                <c:pt idx="0">
                  <c:v>Astrofísica Planetaria</c:v>
                </c:pt>
                <c:pt idx="1">
                  <c:v>Ciencia y Tecnología de Nanopartículas e Interfases</c:v>
                </c:pt>
                <c:pt idx="2">
                  <c:v>Ciencias Atmosféricas y Meteorología</c:v>
                </c:pt>
                <c:pt idx="3">
                  <c:v>Física Atómica, Molecular y Nuclear</c:v>
                </c:pt>
                <c:pt idx="4">
                  <c:v>Física de Dispositivos Electrónicos y Semiconductores</c:v>
                </c:pt>
                <c:pt idx="5">
                  <c:v>Física de Partículas, Astropartículas y Cosmología</c:v>
                </c:pt>
                <c:pt idx="6">
                  <c:v>Nucleosíntesis y Evolución Química de Galaxias</c:v>
                </c:pt>
                <c:pt idx="7">
                  <c:v>Óptica</c:v>
                </c:pt>
              </c:strCache>
            </c:strRef>
          </c:cat>
          <c:val>
            <c:numRef>
              <c:f>Indicadores!$AT$88:$AT$95</c:f>
              <c:numCache>
                <c:formatCode>General</c:formatCode>
                <c:ptCount val="8"/>
                <c:pt idx="0">
                  <c:v>10</c:v>
                </c:pt>
                <c:pt idx="1">
                  <c:v>21</c:v>
                </c:pt>
                <c:pt idx="2">
                  <c:v>76</c:v>
                </c:pt>
                <c:pt idx="3">
                  <c:v>6</c:v>
                </c:pt>
                <c:pt idx="4">
                  <c:v>19</c:v>
                </c:pt>
                <c:pt idx="5">
                  <c:v>42</c:v>
                </c:pt>
                <c:pt idx="6">
                  <c:v>18</c:v>
                </c:pt>
                <c:pt idx="7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2-4205-B892-8B78DDD51A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79925535"/>
        <c:axId val="1779926367"/>
      </c:barChart>
      <c:catAx>
        <c:axId val="177992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79926367"/>
        <c:crosses val="autoZero"/>
        <c:auto val="1"/>
        <c:lblAlgn val="ctr"/>
        <c:lblOffset val="100"/>
        <c:noMultiLvlLbl val="0"/>
      </c:catAx>
      <c:valAx>
        <c:axId val="177992636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79925535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 i="0" u="none" strike="noStrike" baseline="0">
                <a:effectLst/>
              </a:rPr>
              <a:t>Programa de Doctorado en Física y Matemáticas</a:t>
            </a:r>
            <a:endParaRPr lang="es-ES" sz="1400" b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Indicadores!$O$97:$T$109</c:f>
              <c:strCache>
                <c:ptCount val="13"/>
                <c:pt idx="0">
                  <c:v>Astrofísica estelar. Evolución estelar. Supernovas</c:v>
                </c:pt>
                <c:pt idx="1">
                  <c:v>Astrofísica galáctica. Radioastronomía. Medio interestelar. Estructura galáctica. Formación estelar</c:v>
                </c:pt>
                <c:pt idx="2">
                  <c:v>Biomatemáticas. Biofísica. Dinámica celular y tumoral.Formación de patrones. Ecología</c:v>
                </c:pt>
                <c:pt idx="3">
                  <c:v>Cosmología. Fondo cósmico de microondas. Estructura a gran escala</c:v>
                </c:pt>
                <c:pt idx="4">
                  <c:v>Fenómenos cooperativos en Física Estadística: teoría y aplicaciones interdisciplinares. Teoría y simulación de sistemas complejos</c:v>
                </c:pt>
                <c:pt idx="5">
                  <c:v>Física de la Información. Átomos en Campos Externos. Teoría de Aproximación</c:v>
                </c:pt>
                <c:pt idx="6">
                  <c:v>Geometría y dinámica de partículas y cuerdas relativistas. Geometría de Lorentz y Gravitación</c:v>
                </c:pt>
                <c:pt idx="7">
                  <c:v>Sistemas dinámicos. Dinámica hamiltoniana. Teoría cualitativa de ecuaciones diferenciales. Optimización y métodos variacionales. Análisis no lineal y ecuaciones elípticas</c:v>
                </c:pt>
                <c:pt idx="8">
                  <c:v>Ecuaciones de evolución en derivadas parciales. Ecuaciones cinéticas y cuánticas. Mecánica de fluidos. Relatividad. Métodos variacionales</c:v>
                </c:pt>
                <c:pt idx="9">
                  <c:v>Análisis funcional. Análisis de Fourier. Geometría infinito-dimensional. Algebras de operadores: C* álgebras</c:v>
                </c:pt>
                <c:pt idx="10">
                  <c:v>Superficies minimales. Superficies de curvatura media constante. Desigualdades isoperimétricas. Teoría geométrica de la medida. Grupos de Heisenberg</c:v>
                </c:pt>
                <c:pt idx="11">
                  <c:v>Resolución numérica de EDP. Ecuaciones no lineales y métodos numéricos. Modelado numérico de fluidos biológicos y geofísicos</c:v>
                </c:pt>
                <c:pt idx="12">
                  <c:v>Teoría cuántica de campos no lineales. Representación de grupos de dimensión infinita. Cuantización de teorías Gauge. Gravedad cuántica. Física Matemática</c:v>
                </c:pt>
              </c:strCache>
            </c:strRef>
          </c:cat>
          <c:val>
            <c:numRef>
              <c:f>Indicadores!$U$97:$U$109</c:f>
              <c:numCache>
                <c:formatCode>General</c:formatCode>
                <c:ptCount val="13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1-43E9-9CF5-CA18C6FFD342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Indicadores!$O$97:$T$109</c:f>
              <c:strCache>
                <c:ptCount val="13"/>
                <c:pt idx="0">
                  <c:v>Astrofísica estelar. Evolución estelar. Supernovas</c:v>
                </c:pt>
                <c:pt idx="1">
                  <c:v>Astrofísica galáctica. Radioastronomía. Medio interestelar. Estructura galáctica. Formación estelar</c:v>
                </c:pt>
                <c:pt idx="2">
                  <c:v>Biomatemáticas. Biofísica. Dinámica celular y tumoral.Formación de patrones. Ecología</c:v>
                </c:pt>
                <c:pt idx="3">
                  <c:v>Cosmología. Fondo cósmico de microondas. Estructura a gran escala</c:v>
                </c:pt>
                <c:pt idx="4">
                  <c:v>Fenómenos cooperativos en Física Estadística: teoría y aplicaciones interdisciplinares. Teoría y simulación de sistemas complejos</c:v>
                </c:pt>
                <c:pt idx="5">
                  <c:v>Física de la Información. Átomos en Campos Externos. Teoría de Aproximación</c:v>
                </c:pt>
                <c:pt idx="6">
                  <c:v>Geometría y dinámica de partículas y cuerdas relativistas. Geometría de Lorentz y Gravitación</c:v>
                </c:pt>
                <c:pt idx="7">
                  <c:v>Sistemas dinámicos. Dinámica hamiltoniana. Teoría cualitativa de ecuaciones diferenciales. Optimización y métodos variacionales. Análisis no lineal y ecuaciones elípticas</c:v>
                </c:pt>
                <c:pt idx="8">
                  <c:v>Ecuaciones de evolución en derivadas parciales. Ecuaciones cinéticas y cuánticas. Mecánica de fluidos. Relatividad. Métodos variacionales</c:v>
                </c:pt>
                <c:pt idx="9">
                  <c:v>Análisis funcional. Análisis de Fourier. Geometría infinito-dimensional. Algebras de operadores: C* álgebras</c:v>
                </c:pt>
                <c:pt idx="10">
                  <c:v>Superficies minimales. Superficies de curvatura media constante. Desigualdades isoperimétricas. Teoría geométrica de la medida. Grupos de Heisenberg</c:v>
                </c:pt>
                <c:pt idx="11">
                  <c:v>Resolución numérica de EDP. Ecuaciones no lineales y métodos numéricos. Modelado numérico de fluidos biológicos y geofísicos</c:v>
                </c:pt>
                <c:pt idx="12">
                  <c:v>Teoría cuántica de campos no lineales. Representación de grupos de dimensión infinita. Cuantización de teorías Gauge. Gravedad cuántica. Física Matemática</c:v>
                </c:pt>
              </c:strCache>
            </c:strRef>
          </c:cat>
          <c:val>
            <c:numRef>
              <c:f>Indicadores!$AT$97:$AT$109</c:f>
              <c:numCache>
                <c:formatCode>General</c:formatCode>
                <c:ptCount val="13"/>
                <c:pt idx="0">
                  <c:v>7</c:v>
                </c:pt>
                <c:pt idx="1">
                  <c:v>41</c:v>
                </c:pt>
                <c:pt idx="2">
                  <c:v>11</c:v>
                </c:pt>
                <c:pt idx="3">
                  <c:v>0</c:v>
                </c:pt>
                <c:pt idx="4">
                  <c:v>11</c:v>
                </c:pt>
                <c:pt idx="5">
                  <c:v>2</c:v>
                </c:pt>
                <c:pt idx="6">
                  <c:v>0</c:v>
                </c:pt>
                <c:pt idx="7">
                  <c:v>12</c:v>
                </c:pt>
                <c:pt idx="8">
                  <c:v>2</c:v>
                </c:pt>
                <c:pt idx="9">
                  <c:v>29</c:v>
                </c:pt>
                <c:pt idx="10">
                  <c:v>6</c:v>
                </c:pt>
                <c:pt idx="11">
                  <c:v>12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61-43E9-9CF5-CA18C6FFD3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69683311"/>
        <c:axId val="1769684143"/>
      </c:barChart>
      <c:catAx>
        <c:axId val="1769683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69684143"/>
        <c:crosses val="autoZero"/>
        <c:auto val="1"/>
        <c:lblAlgn val="ctr"/>
        <c:lblOffset val="100"/>
        <c:noMultiLvlLbl val="0"/>
      </c:catAx>
      <c:valAx>
        <c:axId val="17696841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69683311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600" b="0" i="0" u="none" strike="noStrike" baseline="0">
                <a:effectLst/>
              </a:rPr>
              <a:t>Programa de Doctorado en Ingeniería Civil</a:t>
            </a:r>
            <a:endParaRPr lang="es-ES" sz="1600" b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Indicadores!$O$111:$T$119</c:f>
              <c:strCache>
                <c:ptCount val="9"/>
                <c:pt idx="0">
                  <c:v>Dinámica de Estructuras e Ingeniería Sísmica</c:v>
                </c:pt>
                <c:pt idx="1">
                  <c:v>Evaluación no-destructiva de Materiales y Estructuras</c:v>
                </c:pt>
                <c:pt idx="2">
                  <c:v>Mecánica computacional</c:v>
                </c:pt>
                <c:pt idx="3">
                  <c:v>Hidráulica Computacional</c:v>
                </c:pt>
                <c:pt idx="4">
                  <c:v>Hormigón y Acero Estructural</c:v>
                </c:pt>
                <c:pt idx="5">
                  <c:v>Ingeniería de la Construcción y del Terreno</c:v>
                </c:pt>
                <c:pt idx="6">
                  <c:v>Ordenación del Territorio. Evaluación y Planificación Ambiental</c:v>
                </c:pt>
                <c:pt idx="7">
                  <c:v>Transportes, Energía y Medioambiente</c:v>
                </c:pt>
                <c:pt idx="8">
                  <c:v>Tratamiento de Aguas</c:v>
                </c:pt>
              </c:strCache>
            </c:strRef>
          </c:cat>
          <c:val>
            <c:numRef>
              <c:f>Indicadores!$U$111:$U$119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8</c:v>
                </c:pt>
                <c:pt idx="6">
                  <c:v>4</c:v>
                </c:pt>
                <c:pt idx="7">
                  <c:v>7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D-4A73-9512-D3BCFA94F82C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Indicadores!$O$111:$T$119</c:f>
              <c:strCache>
                <c:ptCount val="9"/>
                <c:pt idx="0">
                  <c:v>Dinámica de Estructuras e Ingeniería Sísmica</c:v>
                </c:pt>
                <c:pt idx="1">
                  <c:v>Evaluación no-destructiva de Materiales y Estructuras</c:v>
                </c:pt>
                <c:pt idx="2">
                  <c:v>Mecánica computacional</c:v>
                </c:pt>
                <c:pt idx="3">
                  <c:v>Hidráulica Computacional</c:v>
                </c:pt>
                <c:pt idx="4">
                  <c:v>Hormigón y Acero Estructural</c:v>
                </c:pt>
                <c:pt idx="5">
                  <c:v>Ingeniería de la Construcción y del Terreno</c:v>
                </c:pt>
                <c:pt idx="6">
                  <c:v>Ordenación del Territorio. Evaluación y Planificación Ambiental</c:v>
                </c:pt>
                <c:pt idx="7">
                  <c:v>Transportes, Energía y Medioambiente</c:v>
                </c:pt>
                <c:pt idx="8">
                  <c:v>Tratamiento de Aguas</c:v>
                </c:pt>
              </c:strCache>
            </c:strRef>
          </c:cat>
          <c:val>
            <c:numRef>
              <c:f>Indicadores!$AT$111:$AT$119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43</c:v>
                </c:pt>
                <c:pt idx="4">
                  <c:v>3</c:v>
                </c:pt>
                <c:pt idx="5">
                  <c:v>34</c:v>
                </c:pt>
                <c:pt idx="6">
                  <c:v>12</c:v>
                </c:pt>
                <c:pt idx="7">
                  <c:v>38</c:v>
                </c:pt>
                <c:pt idx="8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3D-4A73-9512-D3BCFA94F8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43216175"/>
        <c:axId val="1743221167"/>
      </c:barChart>
      <c:catAx>
        <c:axId val="1743216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43221167"/>
        <c:crosses val="autoZero"/>
        <c:auto val="1"/>
        <c:lblAlgn val="ctr"/>
        <c:lblOffset val="100"/>
        <c:noMultiLvlLbl val="0"/>
      </c:catAx>
      <c:valAx>
        <c:axId val="174322116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43216175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 i="0" u="none" strike="noStrike" baseline="0">
                <a:effectLst/>
              </a:rPr>
              <a:t>Programa de Doctorado en Matemáticas</a:t>
            </a:r>
            <a:endParaRPr lang="es-ES" sz="1400" b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Indicadores!$O$121:$T$124</c:f>
              <c:strCache>
                <c:ptCount val="4"/>
                <c:pt idx="0">
                  <c:v>Análisis Funcional. Espacios y Álgebras de Banach. Aplicaciones</c:v>
                </c:pt>
                <c:pt idx="1">
                  <c:v>Teoría de aproximación</c:v>
                </c:pt>
                <c:pt idx="2">
                  <c:v>Ecuaciones Diferenciales. Análisis Numérico y Aplicaciones</c:v>
                </c:pt>
                <c:pt idx="3">
                  <c:v>Análisis geométrico</c:v>
                </c:pt>
              </c:strCache>
            </c:strRef>
          </c:cat>
          <c:val>
            <c:numRef>
              <c:f>Indicadores!$U$121:$U$124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9-49A3-A15B-AF9FDF01EECA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Indicadores!$O$121:$T$124</c:f>
              <c:strCache>
                <c:ptCount val="4"/>
                <c:pt idx="0">
                  <c:v>Análisis Funcional. Espacios y Álgebras de Banach. Aplicaciones</c:v>
                </c:pt>
                <c:pt idx="1">
                  <c:v>Teoría de aproximación</c:v>
                </c:pt>
                <c:pt idx="2">
                  <c:v>Ecuaciones Diferenciales. Análisis Numérico y Aplicaciones</c:v>
                </c:pt>
                <c:pt idx="3">
                  <c:v>Análisis geométrico</c:v>
                </c:pt>
              </c:strCache>
            </c:strRef>
          </c:cat>
          <c:val>
            <c:numRef>
              <c:f>Indicadores!$AT$121:$AT$124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9-49A3-A15B-AF9FDF01EE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37781535"/>
        <c:axId val="1737776959"/>
      </c:barChart>
      <c:catAx>
        <c:axId val="1737781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37776959"/>
        <c:crosses val="autoZero"/>
        <c:auto val="1"/>
        <c:lblAlgn val="ctr"/>
        <c:lblOffset val="100"/>
        <c:noMultiLvlLbl val="0"/>
      </c:catAx>
      <c:valAx>
        <c:axId val="173777695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37781535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 i="0" u="none" strike="noStrike" baseline="0">
                <a:effectLst/>
              </a:rPr>
              <a:t>Programa de Doctorado en Química</a:t>
            </a:r>
            <a:endParaRPr lang="es-ES" sz="1400" b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Indicadores!$O$126:$T$138</c:f>
              <c:strCache>
                <c:ptCount val="13"/>
                <c:pt idx="0">
                  <c:v>Adsorción y catálisis</c:v>
                </c:pt>
                <c:pt idx="1">
                  <c:v>Bioprocesos</c:v>
                </c:pt>
                <c:pt idx="2">
                  <c:v>Biología Molecular de protozoos parásitos</c:v>
                </c:pt>
                <c:pt idx="3">
                  <c:v>Síntesis Orgánica</c:v>
                </c:pt>
                <c:pt idx="4">
                  <c:v>Depuración de efluentes</c:v>
                </c:pt>
                <c:pt idx="5">
                  <c:v>Química de productos Naturales</c:v>
                </c:pt>
                <c:pt idx="6">
                  <c:v>Bioquímica y Biología molecular en Ciencias de la vida</c:v>
                </c:pt>
                <c:pt idx="7">
                  <c:v>I+D+i en tecnología analítica instrumental</c:v>
                </c:pt>
                <c:pt idx="8">
                  <c:v>Metodologías de obtención de información analítica en sistemas reales</c:v>
                </c:pt>
                <c:pt idx="9">
                  <c:v>Plegamiento de proteínas e interacción con ligandos</c:v>
                </c:pt>
                <c:pt idx="10">
                  <c:v>Proteómica e ingeniería de proteínas</c:v>
                </c:pt>
                <c:pt idx="11">
                  <c:v>Química de la coordinación</c:v>
                </c:pt>
                <c:pt idx="12">
                  <c:v>Química de productos Naturales</c:v>
                </c:pt>
              </c:strCache>
            </c:strRef>
          </c:cat>
          <c:val>
            <c:numRef>
              <c:f>Indicadores!$U$126:$U$138</c:f>
              <c:numCache>
                <c:formatCode>General</c:formatCode>
                <c:ptCount val="13"/>
                <c:pt idx="0">
                  <c:v>7</c:v>
                </c:pt>
                <c:pt idx="1">
                  <c:v>9</c:v>
                </c:pt>
                <c:pt idx="2">
                  <c:v>5</c:v>
                </c:pt>
                <c:pt idx="3">
                  <c:v>12</c:v>
                </c:pt>
                <c:pt idx="4">
                  <c:v>2</c:v>
                </c:pt>
                <c:pt idx="5">
                  <c:v>5</c:v>
                </c:pt>
                <c:pt idx="6">
                  <c:v>9</c:v>
                </c:pt>
                <c:pt idx="7">
                  <c:v>5</c:v>
                </c:pt>
                <c:pt idx="8">
                  <c:v>7</c:v>
                </c:pt>
                <c:pt idx="9">
                  <c:v>1</c:v>
                </c:pt>
                <c:pt idx="10">
                  <c:v>1</c:v>
                </c:pt>
                <c:pt idx="11">
                  <c:v>6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5-446E-97E0-B41ECBDA0C95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Indicadores!$O$126:$T$138</c:f>
              <c:strCache>
                <c:ptCount val="13"/>
                <c:pt idx="0">
                  <c:v>Adsorción y catálisis</c:v>
                </c:pt>
                <c:pt idx="1">
                  <c:v>Bioprocesos</c:v>
                </c:pt>
                <c:pt idx="2">
                  <c:v>Biología Molecular de protozoos parásitos</c:v>
                </c:pt>
                <c:pt idx="3">
                  <c:v>Síntesis Orgánica</c:v>
                </c:pt>
                <c:pt idx="4">
                  <c:v>Depuración de efluentes</c:v>
                </c:pt>
                <c:pt idx="5">
                  <c:v>Química de productos Naturales</c:v>
                </c:pt>
                <c:pt idx="6">
                  <c:v>Bioquímica y Biología molecular en Ciencias de la vida</c:v>
                </c:pt>
                <c:pt idx="7">
                  <c:v>I+D+i en tecnología analítica instrumental</c:v>
                </c:pt>
                <c:pt idx="8">
                  <c:v>Metodologías de obtención de información analítica en sistemas reales</c:v>
                </c:pt>
                <c:pt idx="9">
                  <c:v>Plegamiento de proteínas e interacción con ligandos</c:v>
                </c:pt>
                <c:pt idx="10">
                  <c:v>Proteómica e ingeniería de proteínas</c:v>
                </c:pt>
                <c:pt idx="11">
                  <c:v>Química de la coordinación</c:v>
                </c:pt>
                <c:pt idx="12">
                  <c:v>Química de productos Naturales</c:v>
                </c:pt>
              </c:strCache>
            </c:strRef>
          </c:cat>
          <c:val>
            <c:numRef>
              <c:f>Indicadores!$AT$126:$AT$138</c:f>
              <c:numCache>
                <c:formatCode>General</c:formatCode>
                <c:ptCount val="13"/>
                <c:pt idx="0">
                  <c:v>38</c:v>
                </c:pt>
                <c:pt idx="1">
                  <c:v>33</c:v>
                </c:pt>
                <c:pt idx="2">
                  <c:v>9</c:v>
                </c:pt>
                <c:pt idx="3">
                  <c:v>73</c:v>
                </c:pt>
                <c:pt idx="4">
                  <c:v>8</c:v>
                </c:pt>
                <c:pt idx="5">
                  <c:v>10</c:v>
                </c:pt>
                <c:pt idx="6">
                  <c:v>67</c:v>
                </c:pt>
                <c:pt idx="7">
                  <c:v>77</c:v>
                </c:pt>
                <c:pt idx="8">
                  <c:v>125</c:v>
                </c:pt>
                <c:pt idx="9">
                  <c:v>0</c:v>
                </c:pt>
                <c:pt idx="10">
                  <c:v>3</c:v>
                </c:pt>
                <c:pt idx="11">
                  <c:v>35</c:v>
                </c:pt>
                <c:pt idx="1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5-446E-97E0-B41ECBDA0C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43213263"/>
        <c:axId val="1743217007"/>
      </c:barChart>
      <c:catAx>
        <c:axId val="1743213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43217007"/>
        <c:crosses val="autoZero"/>
        <c:auto val="1"/>
        <c:lblAlgn val="ctr"/>
        <c:lblOffset val="100"/>
        <c:noMultiLvlLbl val="0"/>
      </c:catAx>
      <c:valAx>
        <c:axId val="17432170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43213263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 i="0" u="none" strike="noStrike" baseline="0">
                <a:effectLst/>
              </a:rPr>
              <a:t>Programa de Doctorado en Tecnologías de la Información y la Comunicación </a:t>
            </a:r>
            <a:endParaRPr lang="es-ES" sz="1400" b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Indicadores!$O$140:$T$157</c:f>
              <c:strCache>
                <c:ptCount val="18"/>
                <c:pt idx="0">
                  <c:v>Aplicaciones de las TIC: Salud-Bienestar social, Medio ambiente-Energía y Agroalimentarias</c:v>
                </c:pt>
                <c:pt idx="1">
                  <c:v>Bioinformática</c:v>
                </c:pt>
                <c:pt idx="2">
                  <c:v>Especificación y Modelado de Sistemas. Desarrollo de Software</c:v>
                </c:pt>
                <c:pt idx="3">
                  <c:v>Interacción Persona-Ordenador</c:v>
                </c:pt>
                <c:pt idx="4">
                  <c:v>Minería de datos</c:v>
                </c:pt>
                <c:pt idx="5">
                  <c:v>Monitorización y Sistemas de Control Avanzados</c:v>
                </c:pt>
                <c:pt idx="6">
                  <c:v>Procesado y clasificación de imágenes y vídeo. Visión por computador</c:v>
                </c:pt>
                <c:pt idx="7">
                  <c:v>Recuperación de Información. Web e Internet</c:v>
                </c:pt>
                <c:pt idx="8">
                  <c:v>Redes y Comunicaciones</c:v>
                </c:pt>
                <c:pt idx="9">
                  <c:v>Procesado de señal y aplicaciones multidisciplinares</c:v>
                </c:pt>
                <c:pt idx="10">
                  <c:v>Ingeniería Neuronal y Sistemas Integrados Bioinspirados</c:v>
                </c:pt>
                <c:pt idx="11">
                  <c:v>Computación de Altas Prestaciones y sus aplicaciones</c:v>
                </c:pt>
                <c:pt idx="12">
                  <c:v>Nanoelectrónica. Aplicaciones TIC</c:v>
                </c:pt>
                <c:pt idx="13">
                  <c:v>Computación Ubicua e Inteligencia Ambiental</c:v>
                </c:pt>
                <c:pt idx="14">
                  <c:v>Sensores e Instrumentación. Sistemas electrónicos reconfigurables y Electrónica imprimible</c:v>
                </c:pt>
                <c:pt idx="15">
                  <c:v>Sistemas de Información y Bases de datos</c:v>
                </c:pt>
                <c:pt idx="16">
                  <c:v>Sistemas Inteligentes de Ayuda a la Decisión</c:v>
                </c:pt>
                <c:pt idx="17">
                  <c:v>Soft computing</c:v>
                </c:pt>
              </c:strCache>
            </c:strRef>
          </c:cat>
          <c:val>
            <c:numRef>
              <c:f>Indicadores!$U$140:$U$157</c:f>
              <c:numCache>
                <c:formatCode>General</c:formatCode>
                <c:ptCount val="18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16</c:v>
                </c:pt>
                <c:pt idx="5">
                  <c:v>7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  <c:pt idx="1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5-476A-BE98-99BFF7F024DD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Indicadores!$O$140:$T$157</c:f>
              <c:strCache>
                <c:ptCount val="18"/>
                <c:pt idx="0">
                  <c:v>Aplicaciones de las TIC: Salud-Bienestar social, Medio ambiente-Energía y Agroalimentarias</c:v>
                </c:pt>
                <c:pt idx="1">
                  <c:v>Bioinformática</c:v>
                </c:pt>
                <c:pt idx="2">
                  <c:v>Especificación y Modelado de Sistemas. Desarrollo de Software</c:v>
                </c:pt>
                <c:pt idx="3">
                  <c:v>Interacción Persona-Ordenador</c:v>
                </c:pt>
                <c:pt idx="4">
                  <c:v>Minería de datos</c:v>
                </c:pt>
                <c:pt idx="5">
                  <c:v>Monitorización y Sistemas de Control Avanzados</c:v>
                </c:pt>
                <c:pt idx="6">
                  <c:v>Procesado y clasificación de imágenes y vídeo. Visión por computador</c:v>
                </c:pt>
                <c:pt idx="7">
                  <c:v>Recuperación de Información. Web e Internet</c:v>
                </c:pt>
                <c:pt idx="8">
                  <c:v>Redes y Comunicaciones</c:v>
                </c:pt>
                <c:pt idx="9">
                  <c:v>Procesado de señal y aplicaciones multidisciplinares</c:v>
                </c:pt>
                <c:pt idx="10">
                  <c:v>Ingeniería Neuronal y Sistemas Integrados Bioinspirados</c:v>
                </c:pt>
                <c:pt idx="11">
                  <c:v>Computación de Altas Prestaciones y sus aplicaciones</c:v>
                </c:pt>
                <c:pt idx="12">
                  <c:v>Nanoelectrónica. Aplicaciones TIC</c:v>
                </c:pt>
                <c:pt idx="13">
                  <c:v>Computación Ubicua e Inteligencia Ambiental</c:v>
                </c:pt>
                <c:pt idx="14">
                  <c:v>Sensores e Instrumentación. Sistemas electrónicos reconfigurables y Electrónica imprimible</c:v>
                </c:pt>
                <c:pt idx="15">
                  <c:v>Sistemas de Información y Bases de datos</c:v>
                </c:pt>
                <c:pt idx="16">
                  <c:v>Sistemas Inteligentes de Ayuda a la Decisión</c:v>
                </c:pt>
                <c:pt idx="17">
                  <c:v>Soft computing</c:v>
                </c:pt>
              </c:strCache>
            </c:strRef>
          </c:cat>
          <c:val>
            <c:numRef>
              <c:f>Indicadores!$AT$140:$AT$157</c:f>
              <c:numCache>
                <c:formatCode>General</c:formatCode>
                <c:ptCount val="18"/>
                <c:pt idx="0">
                  <c:v>1</c:v>
                </c:pt>
                <c:pt idx="1">
                  <c:v>7</c:v>
                </c:pt>
                <c:pt idx="2">
                  <c:v>2</c:v>
                </c:pt>
                <c:pt idx="3">
                  <c:v>20</c:v>
                </c:pt>
                <c:pt idx="4">
                  <c:v>67</c:v>
                </c:pt>
                <c:pt idx="5">
                  <c:v>41</c:v>
                </c:pt>
                <c:pt idx="6">
                  <c:v>18</c:v>
                </c:pt>
                <c:pt idx="7">
                  <c:v>6</c:v>
                </c:pt>
                <c:pt idx="8">
                  <c:v>33</c:v>
                </c:pt>
                <c:pt idx="9">
                  <c:v>52</c:v>
                </c:pt>
                <c:pt idx="10">
                  <c:v>12</c:v>
                </c:pt>
                <c:pt idx="11">
                  <c:v>5</c:v>
                </c:pt>
                <c:pt idx="12">
                  <c:v>17</c:v>
                </c:pt>
                <c:pt idx="13">
                  <c:v>1</c:v>
                </c:pt>
                <c:pt idx="14">
                  <c:v>20</c:v>
                </c:pt>
                <c:pt idx="15">
                  <c:v>7</c:v>
                </c:pt>
                <c:pt idx="16">
                  <c:v>5</c:v>
                </c:pt>
                <c:pt idx="17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5-476A-BE98-99BFF7F024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80103343"/>
        <c:axId val="1780102511"/>
      </c:barChart>
      <c:catAx>
        <c:axId val="1780103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0102511"/>
        <c:crosses val="autoZero"/>
        <c:auto val="1"/>
        <c:lblAlgn val="ctr"/>
        <c:lblOffset val="100"/>
        <c:noMultiLvlLbl val="0"/>
      </c:catAx>
      <c:valAx>
        <c:axId val="178010251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80103343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Total</a:t>
            </a:r>
            <a:r>
              <a:rPr lang="es-ES" baseline="0"/>
              <a:t> de tesis leídas por año de lectura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rgbClr val="A30909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 w="19050" cap="flat" cmpd="sng" algn="ctr">
                <a:solidFill>
                  <a:srgbClr val="A30909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Indicadores!$AC$2:$AG$2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Indicadores!$AC$242:$AG$242</c:f>
              <c:numCache>
                <c:formatCode>General</c:formatCode>
                <c:ptCount val="5"/>
                <c:pt idx="0">
                  <c:v>110</c:v>
                </c:pt>
                <c:pt idx="1">
                  <c:v>372</c:v>
                </c:pt>
                <c:pt idx="2">
                  <c:v>340</c:v>
                </c:pt>
                <c:pt idx="3">
                  <c:v>432</c:v>
                </c:pt>
                <c:pt idx="4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0-4388-909B-28DBD6E9C8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554954048"/>
        <c:axId val="1554956960"/>
      </c:lineChart>
      <c:catAx>
        <c:axId val="15549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4956960"/>
        <c:crosses val="autoZero"/>
        <c:auto val="1"/>
        <c:lblAlgn val="ctr"/>
        <c:lblOffset val="100"/>
        <c:noMultiLvlLbl val="0"/>
      </c:catAx>
      <c:valAx>
        <c:axId val="1554956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495404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cap="none" baseline="0"/>
              <a:t>Número alumnos por programa de la Escuela de Doctorado </a:t>
            </a:r>
          </a:p>
          <a:p>
            <a:pPr>
              <a:defRPr/>
            </a:pPr>
            <a:r>
              <a:rPr lang="en-US" sz="1400" b="0" cap="none" baseline="0"/>
              <a:t>de Humanidades, Ciencias Sociales y Jurídicas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Indicadores!$O$158</c:f>
              <c:strCache>
                <c:ptCount val="1"/>
                <c:pt idx="0">
                  <c:v>Escuela de Doctorado de Humanidades y Ciencias Sociales y Jurídicas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(Indicadores!$O$159,Indicadores!$O$169,Indicadores!$O$178,Indicadores!$O$189,Indicadores!$O$200,Indicadores!$O$202,Indicadores!$O$206,Indicadores!$O$214,Indicadores!$O$229)</c:f>
              <c:strCache>
                <c:ptCount val="9"/>
                <c:pt idx="0">
                  <c:v>Programa de Doctorado en Ciencias de la Educación</c:v>
                </c:pt>
                <c:pt idx="1">
                  <c:v>Programa de Doctorado en Ciencias Económicas y Empresariales</c:v>
                </c:pt>
                <c:pt idx="2">
                  <c:v>Programa de Doctorado en Ciencias Jurídicas</c:v>
                </c:pt>
                <c:pt idx="3">
                  <c:v>Programa de Doctorado en Ciencias Sociales</c:v>
                </c:pt>
                <c:pt idx="4">
                  <c:v>Programa de Doctorado en Estudios de las Mujeres, Discursos y Prácticas de Género</c:v>
                </c:pt>
                <c:pt idx="5">
                  <c:v>Programa de Doctorado en Estudios Migratorios</c:v>
                </c:pt>
                <c:pt idx="6">
                  <c:v>Programa de Doctorado en Filosofía</c:v>
                </c:pt>
                <c:pt idx="7">
                  <c:v>Programa de Doctorado en Historia y Artes</c:v>
                </c:pt>
                <c:pt idx="8">
                  <c:v>Programa de Doctorado en Lenguas, Textos y Contextos</c:v>
                </c:pt>
              </c:strCache>
            </c:strRef>
          </c:cat>
          <c:val>
            <c:numRef>
              <c:f>(Indicadores!$U$159,Indicadores!$U$169,Indicadores!$U$178,Indicadores!$U$189,Indicadores!$U$200,Indicadores!$U$202,Indicadores!$U$206,Indicadores!$U$214,Indicadores!$U$229)</c:f>
              <c:numCache>
                <c:formatCode>General</c:formatCode>
                <c:ptCount val="9"/>
                <c:pt idx="0">
                  <c:v>159</c:v>
                </c:pt>
                <c:pt idx="1">
                  <c:v>57</c:v>
                </c:pt>
                <c:pt idx="2">
                  <c:v>39</c:v>
                </c:pt>
                <c:pt idx="3">
                  <c:v>30</c:v>
                </c:pt>
                <c:pt idx="4">
                  <c:v>22</c:v>
                </c:pt>
                <c:pt idx="5">
                  <c:v>35</c:v>
                </c:pt>
                <c:pt idx="6">
                  <c:v>24</c:v>
                </c:pt>
                <c:pt idx="7">
                  <c:v>146</c:v>
                </c:pt>
                <c:pt idx="8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7-4E0F-8D8B-5473C16ABB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64629824"/>
        <c:axId val="1164628992"/>
      </c:barChart>
      <c:catAx>
        <c:axId val="116462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cap="none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4628992"/>
        <c:crosses val="autoZero"/>
        <c:auto val="1"/>
        <c:lblAlgn val="ctr"/>
        <c:lblOffset val="100"/>
        <c:noMultiLvlLbl val="0"/>
      </c:catAx>
      <c:valAx>
        <c:axId val="11646289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6462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cap="none" baseline="0">
                <a:effectLst/>
              </a:rPr>
              <a:t>Número publicaciones por programa de la Escuela de Doctorado de Humanidades, Ciencias Sociales y Jurídicas</a:t>
            </a:r>
            <a:endParaRPr lang="es-ES" sz="1400" cap="none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(Indicadores!$O$159,Indicadores!$O$169,Indicadores!$O$178,Indicadores!$O$189,Indicadores!$O$200,Indicadores!$O$202,Indicadores!$O$206,Indicadores!$O$214,Indicadores!$O$229)</c:f>
              <c:strCache>
                <c:ptCount val="9"/>
                <c:pt idx="0">
                  <c:v>Programa de Doctorado en Ciencias de la Educación</c:v>
                </c:pt>
                <c:pt idx="1">
                  <c:v>Programa de Doctorado en Ciencias Económicas y Empresariales</c:v>
                </c:pt>
                <c:pt idx="2">
                  <c:v>Programa de Doctorado en Ciencias Jurídicas</c:v>
                </c:pt>
                <c:pt idx="3">
                  <c:v>Programa de Doctorado en Ciencias Sociales</c:v>
                </c:pt>
                <c:pt idx="4">
                  <c:v>Programa de Doctorado en Estudios de las Mujeres, Discursos y Prácticas de Género</c:v>
                </c:pt>
                <c:pt idx="5">
                  <c:v>Programa de Doctorado en Estudios Migratorios</c:v>
                </c:pt>
                <c:pt idx="6">
                  <c:v>Programa de Doctorado en Filosofía</c:v>
                </c:pt>
                <c:pt idx="7">
                  <c:v>Programa de Doctorado en Historia y Artes</c:v>
                </c:pt>
                <c:pt idx="8">
                  <c:v>Programa de Doctorado en Lenguas, Textos y Contextos</c:v>
                </c:pt>
              </c:strCache>
            </c:strRef>
          </c:cat>
          <c:val>
            <c:numRef>
              <c:f>(Indicadores!$AT$159,Indicadores!$AT$169,Indicadores!$AT$178,Indicadores!$AT$189,Indicadores!$AT$200,Indicadores!$AT$202,Indicadores!$AT$206,Indicadores!$AT$214,Indicadores!$AT$229)</c:f>
              <c:numCache>
                <c:formatCode>General</c:formatCode>
                <c:ptCount val="9"/>
                <c:pt idx="0">
                  <c:v>794</c:v>
                </c:pt>
                <c:pt idx="1">
                  <c:v>257</c:v>
                </c:pt>
                <c:pt idx="2">
                  <c:v>216</c:v>
                </c:pt>
                <c:pt idx="3">
                  <c:v>97</c:v>
                </c:pt>
                <c:pt idx="4">
                  <c:v>42</c:v>
                </c:pt>
                <c:pt idx="5">
                  <c:v>95</c:v>
                </c:pt>
                <c:pt idx="6">
                  <c:v>60</c:v>
                </c:pt>
                <c:pt idx="7">
                  <c:v>361</c:v>
                </c:pt>
                <c:pt idx="8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4-4554-8261-1C9150190C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93687440"/>
        <c:axId val="1293687024"/>
      </c:barChart>
      <c:catAx>
        <c:axId val="1293687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cap="none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3687024"/>
        <c:crosses val="autoZero"/>
        <c:auto val="1"/>
        <c:lblAlgn val="ctr"/>
        <c:lblOffset val="100"/>
        <c:noMultiLvlLbl val="0"/>
      </c:catAx>
      <c:valAx>
        <c:axId val="12936870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9368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alumnos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Indicadores!$V$2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chemeClr val="accent5">
                    <a:lumMod val="60000"/>
                    <a:lumOff val="40000"/>
                  </a:schemeClr>
                </a:gs>
                <a:gs pos="56000">
                  <a:schemeClr val="accent5">
                    <a:lumMod val="75000"/>
                  </a:schemeClr>
                </a:gs>
                <a:gs pos="100000">
                  <a:schemeClr val="accent5">
                    <a:lumMod val="5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(Indicadores!$O$229,Indicadores!$O$214,Indicadores!$O$206,Indicadores!$O$202,Indicadores!$O$200,Indicadores!$O$189,Indicadores!$O$178,Indicadores!$O$169,Indicadores!$O$159)</c:f>
              <c:strCache>
                <c:ptCount val="9"/>
                <c:pt idx="0">
                  <c:v>Programa de Doctorado en Lenguas, Textos y Contextos</c:v>
                </c:pt>
                <c:pt idx="1">
                  <c:v>Programa de Doctorado en Historia y Artes</c:v>
                </c:pt>
                <c:pt idx="2">
                  <c:v>Programa de Doctorado en Filosofía</c:v>
                </c:pt>
                <c:pt idx="3">
                  <c:v>Programa de Doctorado en Estudios Migratorios</c:v>
                </c:pt>
                <c:pt idx="4">
                  <c:v>Programa de Doctorado en Estudios de las Mujeres, Discursos y Prácticas de Género</c:v>
                </c:pt>
                <c:pt idx="5">
                  <c:v>Programa de Doctorado en Ciencias Sociales</c:v>
                </c:pt>
                <c:pt idx="6">
                  <c:v>Programa de Doctorado en Ciencias Jurídicas</c:v>
                </c:pt>
                <c:pt idx="7">
                  <c:v>Programa de Doctorado en Ciencias Económicas y Empresariales</c:v>
                </c:pt>
                <c:pt idx="8">
                  <c:v>Programa de Doctorado en Ciencias de la Educación</c:v>
                </c:pt>
              </c:strCache>
            </c:strRef>
          </c:cat>
          <c:val>
            <c:numRef>
              <c:f>(Indicadores!$V$229,Indicadores!$V$214,Indicadores!$V$206,Indicadores!$V$202,Indicadores!$V$200,Indicadores!$V$189,Indicadores!$V$178,Indicadores!$V$169,Indicadores!$V$159)</c:f>
              <c:numCache>
                <c:formatCode>General</c:formatCode>
                <c:ptCount val="9"/>
                <c:pt idx="0">
                  <c:v>29</c:v>
                </c:pt>
                <c:pt idx="1">
                  <c:v>73</c:v>
                </c:pt>
                <c:pt idx="2">
                  <c:v>21</c:v>
                </c:pt>
                <c:pt idx="3">
                  <c:v>12</c:v>
                </c:pt>
                <c:pt idx="4">
                  <c:v>2</c:v>
                </c:pt>
                <c:pt idx="5">
                  <c:v>19</c:v>
                </c:pt>
                <c:pt idx="6">
                  <c:v>24</c:v>
                </c:pt>
                <c:pt idx="7">
                  <c:v>31</c:v>
                </c:pt>
                <c:pt idx="8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3-480A-8055-D32D0B267D7E}"/>
            </c:ext>
          </c:extLst>
        </c:ser>
        <c:ser>
          <c:idx val="1"/>
          <c:order val="1"/>
          <c:tx>
            <c:strRef>
              <c:f>Indicadores!$W$2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C10B0B"/>
                </a:gs>
                <a:gs pos="56000">
                  <a:srgbClr val="8E0808"/>
                </a:gs>
                <a:gs pos="100000">
                  <a:srgbClr val="57050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(Indicadores!$O$229,Indicadores!$O$214,Indicadores!$O$206,Indicadores!$O$202,Indicadores!$O$200,Indicadores!$O$189,Indicadores!$O$178,Indicadores!$O$169,Indicadores!$O$159)</c:f>
              <c:strCache>
                <c:ptCount val="9"/>
                <c:pt idx="0">
                  <c:v>Programa de Doctorado en Lenguas, Textos y Contextos</c:v>
                </c:pt>
                <c:pt idx="1">
                  <c:v>Programa de Doctorado en Historia y Artes</c:v>
                </c:pt>
                <c:pt idx="2">
                  <c:v>Programa de Doctorado en Filosofía</c:v>
                </c:pt>
                <c:pt idx="3">
                  <c:v>Programa de Doctorado en Estudios Migratorios</c:v>
                </c:pt>
                <c:pt idx="4">
                  <c:v>Programa de Doctorado en Estudios de las Mujeres, Discursos y Prácticas de Género</c:v>
                </c:pt>
                <c:pt idx="5">
                  <c:v>Programa de Doctorado en Ciencias Sociales</c:v>
                </c:pt>
                <c:pt idx="6">
                  <c:v>Programa de Doctorado en Ciencias Jurídicas</c:v>
                </c:pt>
                <c:pt idx="7">
                  <c:v>Programa de Doctorado en Ciencias Económicas y Empresariales</c:v>
                </c:pt>
                <c:pt idx="8">
                  <c:v>Programa de Doctorado en Ciencias de la Educación</c:v>
                </c:pt>
              </c:strCache>
            </c:strRef>
          </c:cat>
          <c:val>
            <c:numRef>
              <c:f>(Indicadores!$W$229,Indicadores!$W$214,Indicadores!$W$206,Indicadores!$W$202,Indicadores!$W$200,Indicadores!$W$189,Indicadores!$W$178,Indicadores!$W$169,Indicadores!$W$159)</c:f>
              <c:numCache>
                <c:formatCode>General</c:formatCode>
                <c:ptCount val="9"/>
                <c:pt idx="0">
                  <c:v>41</c:v>
                </c:pt>
                <c:pt idx="1">
                  <c:v>73</c:v>
                </c:pt>
                <c:pt idx="2">
                  <c:v>3</c:v>
                </c:pt>
                <c:pt idx="3">
                  <c:v>23</c:v>
                </c:pt>
                <c:pt idx="4">
                  <c:v>20</c:v>
                </c:pt>
                <c:pt idx="5">
                  <c:v>11</c:v>
                </c:pt>
                <c:pt idx="6">
                  <c:v>15</c:v>
                </c:pt>
                <c:pt idx="7">
                  <c:v>26</c:v>
                </c:pt>
                <c:pt idx="8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3-480A-8055-D32D0B267D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006219023"/>
        <c:axId val="1006217359"/>
      </c:barChart>
      <c:catAx>
        <c:axId val="10062190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06217359"/>
        <c:crosses val="autoZero"/>
        <c:auto val="1"/>
        <c:lblAlgn val="ctr"/>
        <c:lblOffset val="100"/>
        <c:noMultiLvlLbl val="0"/>
      </c:catAx>
      <c:valAx>
        <c:axId val="100621735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6219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</a:t>
            </a:r>
            <a:r>
              <a:rPr lang="es-ES" baseline="0"/>
              <a:t> de publicaciones por género del alumno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Indicadores!$AU$2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chemeClr val="accent5">
                    <a:lumMod val="60000"/>
                    <a:lumOff val="40000"/>
                  </a:schemeClr>
                </a:gs>
                <a:gs pos="56000">
                  <a:schemeClr val="accent5">
                    <a:lumMod val="75000"/>
                  </a:schemeClr>
                </a:gs>
                <a:gs pos="100000">
                  <a:schemeClr val="accent5">
                    <a:lumMod val="5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(Indicadores!$O$229,Indicadores!$O$214,Indicadores!$O$206,Indicadores!$O$202,Indicadores!$O$200,Indicadores!$O$189,Indicadores!$O$178,Indicadores!$O$169,Indicadores!$O$159)</c:f>
              <c:strCache>
                <c:ptCount val="9"/>
                <c:pt idx="0">
                  <c:v>Programa de Doctorado en Lenguas, Textos y Contextos</c:v>
                </c:pt>
                <c:pt idx="1">
                  <c:v>Programa de Doctorado en Historia y Artes</c:v>
                </c:pt>
                <c:pt idx="2">
                  <c:v>Programa de Doctorado en Filosofía</c:v>
                </c:pt>
                <c:pt idx="3">
                  <c:v>Programa de Doctorado en Estudios Migratorios</c:v>
                </c:pt>
                <c:pt idx="4">
                  <c:v>Programa de Doctorado en Estudios de las Mujeres, Discursos y Prácticas de Género</c:v>
                </c:pt>
                <c:pt idx="5">
                  <c:v>Programa de Doctorado en Ciencias Sociales</c:v>
                </c:pt>
                <c:pt idx="6">
                  <c:v>Programa de Doctorado en Ciencias Jurídicas</c:v>
                </c:pt>
                <c:pt idx="7">
                  <c:v>Programa de Doctorado en Ciencias Económicas y Empresariales</c:v>
                </c:pt>
                <c:pt idx="8">
                  <c:v>Programa de Doctorado en Ciencias de la Educación</c:v>
                </c:pt>
              </c:strCache>
            </c:strRef>
          </c:cat>
          <c:val>
            <c:numRef>
              <c:f>(Indicadores!$AU$229,Indicadores!$AU$214,Indicadores!$AU$206,Indicadores!$AU$202,Indicadores!$AU$200,Indicadores!$AU$189,Indicadores!$AU$178,Indicadores!$AU$169,Indicadores!$AU$159)</c:f>
              <c:numCache>
                <c:formatCode>General</c:formatCode>
                <c:ptCount val="9"/>
                <c:pt idx="0">
                  <c:v>68</c:v>
                </c:pt>
                <c:pt idx="1">
                  <c:v>154</c:v>
                </c:pt>
                <c:pt idx="2">
                  <c:v>57</c:v>
                </c:pt>
                <c:pt idx="3">
                  <c:v>43</c:v>
                </c:pt>
                <c:pt idx="4">
                  <c:v>2</c:v>
                </c:pt>
                <c:pt idx="5">
                  <c:v>71</c:v>
                </c:pt>
                <c:pt idx="6">
                  <c:v>184</c:v>
                </c:pt>
                <c:pt idx="7">
                  <c:v>168</c:v>
                </c:pt>
                <c:pt idx="8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0-4141-9EBF-756FC2064A13}"/>
            </c:ext>
          </c:extLst>
        </c:ser>
        <c:ser>
          <c:idx val="1"/>
          <c:order val="1"/>
          <c:tx>
            <c:strRef>
              <c:f>Indicadores!$AV$2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C10B0B"/>
                </a:gs>
                <a:gs pos="56000">
                  <a:srgbClr val="8E0808"/>
                </a:gs>
                <a:gs pos="100000">
                  <a:srgbClr val="57050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(Indicadores!$O$229,Indicadores!$O$214,Indicadores!$O$206,Indicadores!$O$202,Indicadores!$O$200,Indicadores!$O$189,Indicadores!$O$178,Indicadores!$O$169,Indicadores!$O$159)</c:f>
              <c:strCache>
                <c:ptCount val="9"/>
                <c:pt idx="0">
                  <c:v>Programa de Doctorado en Lenguas, Textos y Contextos</c:v>
                </c:pt>
                <c:pt idx="1">
                  <c:v>Programa de Doctorado en Historia y Artes</c:v>
                </c:pt>
                <c:pt idx="2">
                  <c:v>Programa de Doctorado en Filosofía</c:v>
                </c:pt>
                <c:pt idx="3">
                  <c:v>Programa de Doctorado en Estudios Migratorios</c:v>
                </c:pt>
                <c:pt idx="4">
                  <c:v>Programa de Doctorado en Estudios de las Mujeres, Discursos y Prácticas de Género</c:v>
                </c:pt>
                <c:pt idx="5">
                  <c:v>Programa de Doctorado en Ciencias Sociales</c:v>
                </c:pt>
                <c:pt idx="6">
                  <c:v>Programa de Doctorado en Ciencias Jurídicas</c:v>
                </c:pt>
                <c:pt idx="7">
                  <c:v>Programa de Doctorado en Ciencias Económicas y Empresariales</c:v>
                </c:pt>
                <c:pt idx="8">
                  <c:v>Programa de Doctorado en Ciencias de la Educación</c:v>
                </c:pt>
              </c:strCache>
            </c:strRef>
          </c:cat>
          <c:val>
            <c:numRef>
              <c:f>(Indicadores!$AV$229,Indicadores!$AV$214,Indicadores!$AV$206,Indicadores!$AV$202,Indicadores!$AV$200,Indicadores!$AV$189,Indicadores!$AV$178,Indicadores!$AV$169,Indicadores!$AV$159)</c:f>
              <c:numCache>
                <c:formatCode>General</c:formatCode>
                <c:ptCount val="9"/>
                <c:pt idx="0">
                  <c:v>157</c:v>
                </c:pt>
                <c:pt idx="1">
                  <c:v>207</c:v>
                </c:pt>
                <c:pt idx="2">
                  <c:v>3</c:v>
                </c:pt>
                <c:pt idx="3">
                  <c:v>52</c:v>
                </c:pt>
                <c:pt idx="4">
                  <c:v>40</c:v>
                </c:pt>
                <c:pt idx="5">
                  <c:v>26</c:v>
                </c:pt>
                <c:pt idx="6">
                  <c:v>32</c:v>
                </c:pt>
                <c:pt idx="7">
                  <c:v>89</c:v>
                </c:pt>
                <c:pt idx="8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0-4141-9EBF-756FC2064A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90486815"/>
        <c:axId val="790485983"/>
      </c:barChart>
      <c:catAx>
        <c:axId val="7904868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0485983"/>
        <c:crosses val="autoZero"/>
        <c:auto val="1"/>
        <c:lblAlgn val="ctr"/>
        <c:lblOffset val="100"/>
        <c:noMultiLvlLbl val="0"/>
      </c:catAx>
      <c:valAx>
        <c:axId val="79048598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90486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0" i="0" baseline="0">
                <a:effectLst/>
              </a:rPr>
              <a:t>Relación de alumnos por curso académico y Programa de Doctorado</a:t>
            </a:r>
            <a:endParaRPr lang="es-E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Indicadores!$O$159</c:f>
              <c:strCache>
                <c:ptCount val="1"/>
                <c:pt idx="0">
                  <c:v>Programa de Doctorado en Ciencias de la Educación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Indicadores!$X$159:$AB$159</c:f>
              <c:numCache>
                <c:formatCode>General</c:formatCode>
                <c:ptCount val="5"/>
                <c:pt idx="0">
                  <c:v>40</c:v>
                </c:pt>
                <c:pt idx="1">
                  <c:v>33</c:v>
                </c:pt>
                <c:pt idx="2">
                  <c:v>47</c:v>
                </c:pt>
                <c:pt idx="3">
                  <c:v>39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C-4F2C-955E-E567D3AF045C}"/>
            </c:ext>
          </c:extLst>
        </c:ser>
        <c:ser>
          <c:idx val="1"/>
          <c:order val="1"/>
          <c:tx>
            <c:strRef>
              <c:f>Indicadores!$O$169</c:f>
              <c:strCache>
                <c:ptCount val="1"/>
                <c:pt idx="0">
                  <c:v>Programa de Doctorado en Ciencias Económicas y Empresariales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Indicadores!$X$169:$AB$169</c:f>
              <c:numCache>
                <c:formatCode>General</c:formatCode>
                <c:ptCount val="5"/>
                <c:pt idx="0">
                  <c:v>11</c:v>
                </c:pt>
                <c:pt idx="1">
                  <c:v>20</c:v>
                </c:pt>
                <c:pt idx="2">
                  <c:v>16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C-4F2C-955E-E567D3AF045C}"/>
            </c:ext>
          </c:extLst>
        </c:ser>
        <c:ser>
          <c:idx val="2"/>
          <c:order val="2"/>
          <c:tx>
            <c:strRef>
              <c:f>Indicadores!$O$178</c:f>
              <c:strCache>
                <c:ptCount val="1"/>
                <c:pt idx="0">
                  <c:v>Programa de Doctorado en Ciencias Jurídicas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Indicadores!$X$178:$AB$178</c:f>
              <c:numCache>
                <c:formatCode>General</c:formatCode>
                <c:ptCount val="5"/>
                <c:pt idx="0">
                  <c:v>14</c:v>
                </c:pt>
                <c:pt idx="1">
                  <c:v>5</c:v>
                </c:pt>
                <c:pt idx="2">
                  <c:v>9</c:v>
                </c:pt>
                <c:pt idx="3">
                  <c:v>11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9C-4F2C-955E-E567D3AF045C}"/>
            </c:ext>
          </c:extLst>
        </c:ser>
        <c:ser>
          <c:idx val="3"/>
          <c:order val="3"/>
          <c:tx>
            <c:strRef>
              <c:f>Indicadores!$O$189</c:f>
              <c:strCache>
                <c:ptCount val="1"/>
                <c:pt idx="0">
                  <c:v>Programa de Doctorado en Ciencias Sociales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Indicadores!$X$189:$AB$189</c:f>
              <c:numCache>
                <c:formatCode>General</c:formatCode>
                <c:ptCount val="5"/>
                <c:pt idx="0">
                  <c:v>8</c:v>
                </c:pt>
                <c:pt idx="1">
                  <c:v>6</c:v>
                </c:pt>
                <c:pt idx="2">
                  <c:v>6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9C-4F2C-955E-E567D3AF045C}"/>
            </c:ext>
          </c:extLst>
        </c:ser>
        <c:ser>
          <c:idx val="4"/>
          <c:order val="4"/>
          <c:tx>
            <c:strRef>
              <c:f>Indicadores!$O$200</c:f>
              <c:strCache>
                <c:ptCount val="1"/>
                <c:pt idx="0">
                  <c:v>Programa de Doctorado en Estudios de las Mujeres, Discursos y Prácticas de Género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Indicadores!$X$200:$AB$200</c:f>
              <c:numCache>
                <c:formatCode>General</c:formatCode>
                <c:ptCount val="5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9C-4F2C-955E-E567D3AF045C}"/>
            </c:ext>
          </c:extLst>
        </c:ser>
        <c:ser>
          <c:idx val="5"/>
          <c:order val="5"/>
          <c:tx>
            <c:strRef>
              <c:f>Indicadores!$O$202</c:f>
              <c:strCache>
                <c:ptCount val="1"/>
                <c:pt idx="0">
                  <c:v>Programa de Doctorado en Estudios Migratorios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Indicadores!$X$202:$AB$202</c:f>
              <c:numCache>
                <c:formatCode>General</c:formatCode>
                <c:ptCount val="5"/>
                <c:pt idx="0">
                  <c:v>8</c:v>
                </c:pt>
                <c:pt idx="1">
                  <c:v>6</c:v>
                </c:pt>
                <c:pt idx="2">
                  <c:v>8</c:v>
                </c:pt>
                <c:pt idx="3">
                  <c:v>13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9C-4F2C-955E-E567D3AF045C}"/>
            </c:ext>
          </c:extLst>
        </c:ser>
        <c:ser>
          <c:idx val="6"/>
          <c:order val="6"/>
          <c:tx>
            <c:strRef>
              <c:f>Indicadores!$O$206</c:f>
              <c:strCache>
                <c:ptCount val="1"/>
                <c:pt idx="0">
                  <c:v>Programa de Doctorado en Filosofía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Indicadores!$X$206:$AB$206</c:f>
              <c:numCache>
                <c:formatCode>General</c:formatCode>
                <c:ptCount val="5"/>
                <c:pt idx="0">
                  <c:v>7</c:v>
                </c:pt>
                <c:pt idx="1">
                  <c:v>9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9C-4F2C-955E-E567D3AF045C}"/>
            </c:ext>
          </c:extLst>
        </c:ser>
        <c:ser>
          <c:idx val="7"/>
          <c:order val="7"/>
          <c:tx>
            <c:strRef>
              <c:f>Indicadores!$O$214</c:f>
              <c:strCache>
                <c:ptCount val="1"/>
                <c:pt idx="0">
                  <c:v>Programa de Doctorado en Historia y Artes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Indicadores!$X$214:$AB$214</c:f>
              <c:numCache>
                <c:formatCode>General</c:formatCode>
                <c:ptCount val="5"/>
                <c:pt idx="0">
                  <c:v>43</c:v>
                </c:pt>
                <c:pt idx="1">
                  <c:v>35</c:v>
                </c:pt>
                <c:pt idx="2">
                  <c:v>44</c:v>
                </c:pt>
                <c:pt idx="3">
                  <c:v>24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9C-4F2C-955E-E567D3AF045C}"/>
            </c:ext>
          </c:extLst>
        </c:ser>
        <c:ser>
          <c:idx val="8"/>
          <c:order val="8"/>
          <c:tx>
            <c:strRef>
              <c:f>Indicadores!$O$229</c:f>
              <c:strCache>
                <c:ptCount val="1"/>
                <c:pt idx="0">
                  <c:v>Programa de Doctorado en Lenguas, Textos y Contextos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Indicadores!$X$229:$AB$229</c:f>
              <c:numCache>
                <c:formatCode>General</c:formatCode>
                <c:ptCount val="5"/>
                <c:pt idx="0">
                  <c:v>17</c:v>
                </c:pt>
                <c:pt idx="1">
                  <c:v>19</c:v>
                </c:pt>
                <c:pt idx="2">
                  <c:v>18</c:v>
                </c:pt>
                <c:pt idx="3">
                  <c:v>16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E9C-4F2C-955E-E567D3AF0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9193919"/>
        <c:axId val="1169208479"/>
      </c:lineChart>
      <c:catAx>
        <c:axId val="1169193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9208479"/>
        <c:crosses val="autoZero"/>
        <c:auto val="1"/>
        <c:lblAlgn val="ctr"/>
        <c:lblOffset val="100"/>
        <c:noMultiLvlLbl val="0"/>
      </c:catAx>
      <c:valAx>
        <c:axId val="1169208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9193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Relación de publicaciones por curso académico y Programa de Doctorado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Indicadores!$O$159</c:f>
              <c:strCache>
                <c:ptCount val="1"/>
                <c:pt idx="0">
                  <c:v>Programa de Doctorado en Ciencias de la Educación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Indicadores!$AW$159:$BA$159</c:f>
              <c:numCache>
                <c:formatCode>General</c:formatCode>
                <c:ptCount val="5"/>
                <c:pt idx="0">
                  <c:v>244</c:v>
                </c:pt>
                <c:pt idx="1">
                  <c:v>200</c:v>
                </c:pt>
                <c:pt idx="2">
                  <c:v>146</c:v>
                </c:pt>
                <c:pt idx="3">
                  <c:v>204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6-4617-B8EB-DB59691156F3}"/>
            </c:ext>
          </c:extLst>
        </c:ser>
        <c:ser>
          <c:idx val="1"/>
          <c:order val="1"/>
          <c:tx>
            <c:strRef>
              <c:f>Indicadores!$O$169</c:f>
              <c:strCache>
                <c:ptCount val="1"/>
                <c:pt idx="0">
                  <c:v>Programa de Doctorado en Ciencias Económicas y Empresariales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Indicadores!$AW$169:$BA$169</c:f>
              <c:numCache>
                <c:formatCode>General</c:formatCode>
                <c:ptCount val="5"/>
                <c:pt idx="0">
                  <c:v>52</c:v>
                </c:pt>
                <c:pt idx="1">
                  <c:v>89</c:v>
                </c:pt>
                <c:pt idx="2">
                  <c:v>93</c:v>
                </c:pt>
                <c:pt idx="3">
                  <c:v>23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6-4617-B8EB-DB59691156F3}"/>
            </c:ext>
          </c:extLst>
        </c:ser>
        <c:ser>
          <c:idx val="2"/>
          <c:order val="2"/>
          <c:tx>
            <c:strRef>
              <c:f>Indicadores!$O$178</c:f>
              <c:strCache>
                <c:ptCount val="1"/>
                <c:pt idx="0">
                  <c:v>Programa de Doctorado en Ciencias Jurídicas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Indicadores!$AW$178:$BA$178</c:f>
              <c:numCache>
                <c:formatCode>General</c:formatCode>
                <c:ptCount val="5"/>
                <c:pt idx="0">
                  <c:v>57</c:v>
                </c:pt>
                <c:pt idx="1">
                  <c:v>26</c:v>
                </c:pt>
                <c:pt idx="2">
                  <c:v>48</c:v>
                </c:pt>
                <c:pt idx="3">
                  <c:v>85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6-4617-B8EB-DB59691156F3}"/>
            </c:ext>
          </c:extLst>
        </c:ser>
        <c:ser>
          <c:idx val="3"/>
          <c:order val="3"/>
          <c:tx>
            <c:strRef>
              <c:f>Indicadores!$O$189</c:f>
              <c:strCache>
                <c:ptCount val="1"/>
                <c:pt idx="0">
                  <c:v>Programa de Doctorado en Ciencias Sociales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Indicadores!$AW$189:$BA$189</c:f>
              <c:numCache>
                <c:formatCode>General</c:formatCode>
                <c:ptCount val="5"/>
                <c:pt idx="0">
                  <c:v>38</c:v>
                </c:pt>
                <c:pt idx="1">
                  <c:v>22</c:v>
                </c:pt>
                <c:pt idx="2">
                  <c:v>18</c:v>
                </c:pt>
                <c:pt idx="3">
                  <c:v>19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C6-4617-B8EB-DB59691156F3}"/>
            </c:ext>
          </c:extLst>
        </c:ser>
        <c:ser>
          <c:idx val="4"/>
          <c:order val="4"/>
          <c:tx>
            <c:strRef>
              <c:f>Indicadores!$O$200</c:f>
              <c:strCache>
                <c:ptCount val="1"/>
                <c:pt idx="0">
                  <c:v>Programa de Doctorado en Estudios de las Mujeres, Discursos y Prácticas de Género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Indicadores!$AW$200:$BA$200</c:f>
              <c:numCache>
                <c:formatCode>General</c:formatCode>
                <c:ptCount val="5"/>
                <c:pt idx="0">
                  <c:v>3</c:v>
                </c:pt>
                <c:pt idx="1">
                  <c:v>13</c:v>
                </c:pt>
                <c:pt idx="2">
                  <c:v>17</c:v>
                </c:pt>
                <c:pt idx="3">
                  <c:v>9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C6-4617-B8EB-DB59691156F3}"/>
            </c:ext>
          </c:extLst>
        </c:ser>
        <c:ser>
          <c:idx val="5"/>
          <c:order val="5"/>
          <c:tx>
            <c:strRef>
              <c:f>Indicadores!$O$202</c:f>
              <c:strCache>
                <c:ptCount val="1"/>
                <c:pt idx="0">
                  <c:v>Programa de Doctorado en Estudios Migratorios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Indicadores!$AW$202:$BA$202</c:f>
              <c:numCache>
                <c:formatCode>General</c:formatCode>
                <c:ptCount val="5"/>
                <c:pt idx="0">
                  <c:v>5</c:v>
                </c:pt>
                <c:pt idx="1">
                  <c:v>18</c:v>
                </c:pt>
                <c:pt idx="2">
                  <c:v>25</c:v>
                </c:pt>
                <c:pt idx="3">
                  <c:v>47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C6-4617-B8EB-DB59691156F3}"/>
            </c:ext>
          </c:extLst>
        </c:ser>
        <c:ser>
          <c:idx val="6"/>
          <c:order val="6"/>
          <c:tx>
            <c:strRef>
              <c:f>Indicadores!$O$206</c:f>
              <c:strCache>
                <c:ptCount val="1"/>
                <c:pt idx="0">
                  <c:v>Programa de Doctorado en Filosofía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Indicadores!$AW$206:$BA$206</c:f>
              <c:numCache>
                <c:formatCode>General</c:formatCode>
                <c:ptCount val="5"/>
                <c:pt idx="0">
                  <c:v>17</c:v>
                </c:pt>
                <c:pt idx="1">
                  <c:v>24</c:v>
                </c:pt>
                <c:pt idx="2">
                  <c:v>6</c:v>
                </c:pt>
                <c:pt idx="3">
                  <c:v>13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C6-4617-B8EB-DB59691156F3}"/>
            </c:ext>
          </c:extLst>
        </c:ser>
        <c:ser>
          <c:idx val="7"/>
          <c:order val="7"/>
          <c:tx>
            <c:strRef>
              <c:f>Indicadores!$O$214</c:f>
              <c:strCache>
                <c:ptCount val="1"/>
                <c:pt idx="0">
                  <c:v>Programa de Doctorado en Historia y Artes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Indicadores!$AW$214:$BA$214</c:f>
              <c:numCache>
                <c:formatCode>General</c:formatCode>
                <c:ptCount val="5"/>
                <c:pt idx="0">
                  <c:v>137</c:v>
                </c:pt>
                <c:pt idx="1">
                  <c:v>92</c:v>
                </c:pt>
                <c:pt idx="2">
                  <c:v>93</c:v>
                </c:pt>
                <c:pt idx="3">
                  <c:v>39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C6-4617-B8EB-DB59691156F3}"/>
            </c:ext>
          </c:extLst>
        </c:ser>
        <c:ser>
          <c:idx val="8"/>
          <c:order val="8"/>
          <c:tx>
            <c:strRef>
              <c:f>Indicadores!$O$229</c:f>
              <c:strCache>
                <c:ptCount val="1"/>
                <c:pt idx="0">
                  <c:v>Programa de Doctorado en Lenguas, Textos y Contextos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Indicadores!$X$2:$AB$2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Indicadores!$AW$229:$BA$229</c:f>
              <c:numCache>
                <c:formatCode>General</c:formatCode>
                <c:ptCount val="5"/>
                <c:pt idx="0">
                  <c:v>35</c:v>
                </c:pt>
                <c:pt idx="1">
                  <c:v>109</c:v>
                </c:pt>
                <c:pt idx="2">
                  <c:v>26</c:v>
                </c:pt>
                <c:pt idx="3">
                  <c:v>55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C6-4617-B8EB-DB5969115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5117935"/>
        <c:axId val="1205115439"/>
      </c:lineChart>
      <c:catAx>
        <c:axId val="120511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05115439"/>
        <c:crosses val="autoZero"/>
        <c:auto val="1"/>
        <c:lblAlgn val="ctr"/>
        <c:lblOffset val="100"/>
        <c:noMultiLvlLbl val="0"/>
      </c:catAx>
      <c:valAx>
        <c:axId val="1205115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0511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Alumnos cotutelados por Programa de Doctorado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bg1"/>
              </a:solidFill>
              <a:ln w="19050" cap="flat" cmpd="sng" algn="ctr">
                <a:solidFill>
                  <a:schemeClr val="accent6"/>
                </a:solidFill>
                <a:round/>
              </a:ln>
              <a:effectLst/>
            </c:spPr>
          </c:marker>
          <c:cat>
            <c:strRef>
              <c:f>(Indicadores!$O$159,Indicadores!$O$169,Indicadores!$O$178,Indicadores!$O$189,Indicadores!$O$200,Indicadores!$O$202,Indicadores!$O$206,Indicadores!$O$214,Indicadores!$O$229)</c:f>
              <c:strCache>
                <c:ptCount val="9"/>
                <c:pt idx="0">
                  <c:v>Programa de Doctorado en Ciencias de la Educación</c:v>
                </c:pt>
                <c:pt idx="1">
                  <c:v>Programa de Doctorado en Ciencias Económicas y Empresariales</c:v>
                </c:pt>
                <c:pt idx="2">
                  <c:v>Programa de Doctorado en Ciencias Jurídicas</c:v>
                </c:pt>
                <c:pt idx="3">
                  <c:v>Programa de Doctorado en Ciencias Sociales</c:v>
                </c:pt>
                <c:pt idx="4">
                  <c:v>Programa de Doctorado en Estudios de las Mujeres, Discursos y Prácticas de Género</c:v>
                </c:pt>
                <c:pt idx="5">
                  <c:v>Programa de Doctorado en Estudios Migratorios</c:v>
                </c:pt>
                <c:pt idx="6">
                  <c:v>Programa de Doctorado en Filosofía</c:v>
                </c:pt>
                <c:pt idx="7">
                  <c:v>Programa de Doctorado en Historia y Artes</c:v>
                </c:pt>
                <c:pt idx="8">
                  <c:v>Programa de Doctorado en Lenguas, Textos y Contextos</c:v>
                </c:pt>
              </c:strCache>
            </c:strRef>
          </c:cat>
          <c:val>
            <c:numRef>
              <c:f>(Indicadores!$AH$159,Indicadores!$AH$169,Indicadores!$AH$178,Indicadores!$AH$189,Indicadores!$AH$200,Indicadores!$AH$202,Indicadores!$AH$206,Indicadores!$AH$214,Indicadores!$AH$229)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1</c:v>
                </c:pt>
                <c:pt idx="4">
                  <c:v>9</c:v>
                </c:pt>
                <c:pt idx="5">
                  <c:v>1</c:v>
                </c:pt>
                <c:pt idx="6">
                  <c:v>2</c:v>
                </c:pt>
                <c:pt idx="7">
                  <c:v>7</c:v>
                </c:pt>
                <c:pt idx="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2-43D4-8DF8-45F029A44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19215263"/>
        <c:axId val="1119216511"/>
      </c:lineChart>
      <c:catAx>
        <c:axId val="111921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19216511"/>
        <c:crosses val="autoZero"/>
        <c:auto val="1"/>
        <c:lblAlgn val="ctr"/>
        <c:lblOffset val="100"/>
        <c:noMultiLvlLbl val="0"/>
      </c:catAx>
      <c:valAx>
        <c:axId val="11192165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19215263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Alumnos vinculados con la UGR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(Indicadores!$O$229,Indicadores!$O$214,Indicadores!$O$206,Indicadores!$O$202,Indicadores!$O$200,Indicadores!$O$189,Indicadores!$O$178,Indicadores!$O$169,Indicadores!$O$159)</c:f>
              <c:strCache>
                <c:ptCount val="9"/>
                <c:pt idx="0">
                  <c:v>Programa de Doctorado en Lenguas, Textos y Contextos</c:v>
                </c:pt>
                <c:pt idx="1">
                  <c:v>Programa de Doctorado en Historia y Artes</c:v>
                </c:pt>
                <c:pt idx="2">
                  <c:v>Programa de Doctorado en Filosofía</c:v>
                </c:pt>
                <c:pt idx="3">
                  <c:v>Programa de Doctorado en Estudios Migratorios</c:v>
                </c:pt>
                <c:pt idx="4">
                  <c:v>Programa de Doctorado en Estudios de las Mujeres, Discursos y Prácticas de Género</c:v>
                </c:pt>
                <c:pt idx="5">
                  <c:v>Programa de Doctorado en Ciencias Sociales</c:v>
                </c:pt>
                <c:pt idx="6">
                  <c:v>Programa de Doctorado en Ciencias Jurídicas</c:v>
                </c:pt>
                <c:pt idx="7">
                  <c:v>Programa de Doctorado en Ciencias Económicas y Empresariales</c:v>
                </c:pt>
                <c:pt idx="8">
                  <c:v>Programa de Doctorado en Ciencias de la Educación</c:v>
                </c:pt>
              </c:strCache>
            </c:strRef>
          </c:cat>
          <c:val>
            <c:numRef>
              <c:f>(Indicadores!$AL$229,Indicadores!$AL$214,Indicadores!$AL$206,Indicadores!$AL$202,Indicadores!$AL$200,Indicadores!$AL$189,Indicadores!$AL$178,Indicadores!$AL$169,Indicadores!$AL$159)</c:f>
              <c:numCache>
                <c:formatCode>General</c:formatCode>
                <c:ptCount val="9"/>
                <c:pt idx="0">
                  <c:v>47</c:v>
                </c:pt>
                <c:pt idx="1">
                  <c:v>82</c:v>
                </c:pt>
                <c:pt idx="2">
                  <c:v>16</c:v>
                </c:pt>
                <c:pt idx="3">
                  <c:v>23</c:v>
                </c:pt>
                <c:pt idx="4">
                  <c:v>12</c:v>
                </c:pt>
                <c:pt idx="5">
                  <c:v>27</c:v>
                </c:pt>
                <c:pt idx="6">
                  <c:v>18</c:v>
                </c:pt>
                <c:pt idx="7">
                  <c:v>52</c:v>
                </c:pt>
                <c:pt idx="8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F-48C9-BC53-3920FED829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19967407"/>
        <c:axId val="1119966991"/>
      </c:barChart>
      <c:catAx>
        <c:axId val="11199674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19966991"/>
        <c:crosses val="autoZero"/>
        <c:auto val="1"/>
        <c:lblAlgn val="ctr"/>
        <c:lblOffset val="100"/>
        <c:noMultiLvlLbl val="0"/>
      </c:catAx>
      <c:valAx>
        <c:axId val="111996699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996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Alumnos con mención internacional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(Indicadores!$O$229,Indicadores!$O$214,Indicadores!$O$206,Indicadores!$O$202,Indicadores!$O$200,Indicadores!$O$189,Indicadores!$O$178,Indicadores!$O$169,Indicadores!$O$159)</c:f>
              <c:strCache>
                <c:ptCount val="9"/>
                <c:pt idx="0">
                  <c:v>Programa de Doctorado en Lenguas, Textos y Contextos</c:v>
                </c:pt>
                <c:pt idx="1">
                  <c:v>Programa de Doctorado en Historia y Artes</c:v>
                </c:pt>
                <c:pt idx="2">
                  <c:v>Programa de Doctorado en Filosofía</c:v>
                </c:pt>
                <c:pt idx="3">
                  <c:v>Programa de Doctorado en Estudios Migratorios</c:v>
                </c:pt>
                <c:pt idx="4">
                  <c:v>Programa de Doctorado en Estudios de las Mujeres, Discursos y Prácticas de Género</c:v>
                </c:pt>
                <c:pt idx="5">
                  <c:v>Programa de Doctorado en Ciencias Sociales</c:v>
                </c:pt>
                <c:pt idx="6">
                  <c:v>Programa de Doctorado en Ciencias Jurídicas</c:v>
                </c:pt>
                <c:pt idx="7">
                  <c:v>Programa de Doctorado en Ciencias Económicas y Empresariales</c:v>
                </c:pt>
                <c:pt idx="8">
                  <c:v>Programa de Doctorado en Ciencias de la Educación</c:v>
                </c:pt>
              </c:strCache>
            </c:strRef>
          </c:cat>
          <c:val>
            <c:numRef>
              <c:f>(Indicadores!$AM$229,Indicadores!$AM$214,Indicadores!$AM$206,Indicadores!$AM$202,Indicadores!$AM$200,Indicadores!$AM$189,Indicadores!$AM$178,Indicadores!$AM$169,Indicadores!$AM$159)</c:f>
              <c:numCache>
                <c:formatCode>General</c:formatCode>
                <c:ptCount val="9"/>
                <c:pt idx="0">
                  <c:v>37</c:v>
                </c:pt>
                <c:pt idx="1">
                  <c:v>54</c:v>
                </c:pt>
                <c:pt idx="2">
                  <c:v>16</c:v>
                </c:pt>
                <c:pt idx="3">
                  <c:v>12</c:v>
                </c:pt>
                <c:pt idx="4">
                  <c:v>7</c:v>
                </c:pt>
                <c:pt idx="5">
                  <c:v>16</c:v>
                </c:pt>
                <c:pt idx="6">
                  <c:v>9</c:v>
                </c:pt>
                <c:pt idx="7">
                  <c:v>17</c:v>
                </c:pt>
                <c:pt idx="8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8-42DD-BBF8-978A9F38FA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51932175"/>
        <c:axId val="851930095"/>
      </c:barChart>
      <c:catAx>
        <c:axId val="8519321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51930095"/>
        <c:crosses val="autoZero"/>
        <c:auto val="1"/>
        <c:lblAlgn val="ctr"/>
        <c:lblOffset val="100"/>
        <c:noMultiLvlLbl val="0"/>
      </c:catAx>
      <c:valAx>
        <c:axId val="85193009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51932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Tesis publicadas en Digibug, TESEO y Dialnet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Indicadores!$AQ$1</c:f>
              <c:strCache>
                <c:ptCount val="1"/>
                <c:pt idx="0">
                  <c:v>Tesis en Digibug</c:v>
                </c:pt>
              </c:strCache>
            </c:strRef>
          </c:tx>
          <c:spPr>
            <a:gradFill>
              <a:gsLst>
                <a:gs pos="0">
                  <a:srgbClr val="C10B0B"/>
                </a:gs>
                <a:gs pos="56000">
                  <a:srgbClr val="8E0808"/>
                </a:gs>
                <a:gs pos="100000">
                  <a:srgbClr val="57050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(Indicadores!$O$159,Indicadores!$O$169,Indicadores!$O$178,Indicadores!$O$189,Indicadores!$O$200,Indicadores!$O$202,Indicadores!$O$206,Indicadores!$O$214,Indicadores!$O$229)</c:f>
              <c:strCache>
                <c:ptCount val="9"/>
                <c:pt idx="0">
                  <c:v>Programa de Doctorado en Ciencias de la Educación</c:v>
                </c:pt>
                <c:pt idx="1">
                  <c:v>Programa de Doctorado en Ciencias Económicas y Empresariales</c:v>
                </c:pt>
                <c:pt idx="2">
                  <c:v>Programa de Doctorado en Ciencias Jurídicas</c:v>
                </c:pt>
                <c:pt idx="3">
                  <c:v>Programa de Doctorado en Ciencias Sociales</c:v>
                </c:pt>
                <c:pt idx="4">
                  <c:v>Programa de Doctorado en Estudios de las Mujeres, Discursos y Prácticas de Género</c:v>
                </c:pt>
                <c:pt idx="5">
                  <c:v>Programa de Doctorado en Estudios Migratorios</c:v>
                </c:pt>
                <c:pt idx="6">
                  <c:v>Programa de Doctorado en Filosofía</c:v>
                </c:pt>
                <c:pt idx="7">
                  <c:v>Programa de Doctorado en Historia y Artes</c:v>
                </c:pt>
                <c:pt idx="8">
                  <c:v>Programa de Doctorado en Lenguas, Textos y Contextos</c:v>
                </c:pt>
              </c:strCache>
            </c:strRef>
          </c:cat>
          <c:val>
            <c:numRef>
              <c:f>(Indicadores!$AQ$159,Indicadores!$AQ$169,Indicadores!$AQ$178,Indicadores!$AQ$189,Indicadores!$AQ$200,Indicadores!$AQ$202,Indicadores!$AQ$206,Indicadores!$AQ$214,Indicadores!$AQ$229)</c:f>
              <c:numCache>
                <c:formatCode>General</c:formatCode>
                <c:ptCount val="9"/>
                <c:pt idx="0">
                  <c:v>159</c:v>
                </c:pt>
                <c:pt idx="1">
                  <c:v>57</c:v>
                </c:pt>
                <c:pt idx="2">
                  <c:v>39</c:v>
                </c:pt>
                <c:pt idx="3">
                  <c:v>30</c:v>
                </c:pt>
                <c:pt idx="4">
                  <c:v>22</c:v>
                </c:pt>
                <c:pt idx="5">
                  <c:v>35</c:v>
                </c:pt>
                <c:pt idx="6">
                  <c:v>24</c:v>
                </c:pt>
                <c:pt idx="7">
                  <c:v>146</c:v>
                </c:pt>
                <c:pt idx="8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B-4566-97C1-D5E10AF21988}"/>
            </c:ext>
          </c:extLst>
        </c:ser>
        <c:ser>
          <c:idx val="1"/>
          <c:order val="1"/>
          <c:tx>
            <c:strRef>
              <c:f>Indicadores!$AR$1</c:f>
              <c:strCache>
                <c:ptCount val="1"/>
                <c:pt idx="0">
                  <c:v>Tesis en TESEO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(Indicadores!$O$159,Indicadores!$O$169,Indicadores!$O$178,Indicadores!$O$189,Indicadores!$O$200,Indicadores!$O$202,Indicadores!$O$206,Indicadores!$O$214,Indicadores!$O$229)</c:f>
              <c:strCache>
                <c:ptCount val="9"/>
                <c:pt idx="0">
                  <c:v>Programa de Doctorado en Ciencias de la Educación</c:v>
                </c:pt>
                <c:pt idx="1">
                  <c:v>Programa de Doctorado en Ciencias Económicas y Empresariales</c:v>
                </c:pt>
                <c:pt idx="2">
                  <c:v>Programa de Doctorado en Ciencias Jurídicas</c:v>
                </c:pt>
                <c:pt idx="3">
                  <c:v>Programa de Doctorado en Ciencias Sociales</c:v>
                </c:pt>
                <c:pt idx="4">
                  <c:v>Programa de Doctorado en Estudios de las Mujeres, Discursos y Prácticas de Género</c:v>
                </c:pt>
                <c:pt idx="5">
                  <c:v>Programa de Doctorado en Estudios Migratorios</c:v>
                </c:pt>
                <c:pt idx="6">
                  <c:v>Programa de Doctorado en Filosofía</c:v>
                </c:pt>
                <c:pt idx="7">
                  <c:v>Programa de Doctorado en Historia y Artes</c:v>
                </c:pt>
                <c:pt idx="8">
                  <c:v>Programa de Doctorado en Lenguas, Textos y Contextos</c:v>
                </c:pt>
              </c:strCache>
            </c:strRef>
          </c:cat>
          <c:val>
            <c:numRef>
              <c:f>(Indicadores!$AR$159,Indicadores!$AR$169,Indicadores!$AR$178,Indicadores!$AR$189,Indicadores!$AR$200,Indicadores!$AR$202,Indicadores!$AR$206,Indicadores!$AR$214,Indicadores!$AR$229)</c:f>
              <c:numCache>
                <c:formatCode>General</c:formatCode>
                <c:ptCount val="9"/>
                <c:pt idx="0">
                  <c:v>53</c:v>
                </c:pt>
                <c:pt idx="1">
                  <c:v>17</c:v>
                </c:pt>
                <c:pt idx="2">
                  <c:v>13</c:v>
                </c:pt>
                <c:pt idx="3">
                  <c:v>11</c:v>
                </c:pt>
                <c:pt idx="4">
                  <c:v>6</c:v>
                </c:pt>
                <c:pt idx="5">
                  <c:v>13</c:v>
                </c:pt>
                <c:pt idx="6">
                  <c:v>11</c:v>
                </c:pt>
                <c:pt idx="7">
                  <c:v>60</c:v>
                </c:pt>
                <c:pt idx="8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B-4566-97C1-D5E10AF21988}"/>
            </c:ext>
          </c:extLst>
        </c:ser>
        <c:ser>
          <c:idx val="2"/>
          <c:order val="2"/>
          <c:tx>
            <c:strRef>
              <c:f>Indicadores!$AS$1</c:f>
              <c:strCache>
                <c:ptCount val="1"/>
                <c:pt idx="0">
                  <c:v>Tesis en Dialnet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67000"/>
                  </a:schemeClr>
                </a:gs>
                <a:gs pos="69000">
                  <a:schemeClr val="accent3">
                    <a:lumMod val="97000"/>
                    <a:lumOff val="3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(Indicadores!$O$159,Indicadores!$O$169,Indicadores!$O$178,Indicadores!$O$189,Indicadores!$O$200,Indicadores!$O$202,Indicadores!$O$206,Indicadores!$O$214,Indicadores!$O$229)</c:f>
              <c:strCache>
                <c:ptCount val="9"/>
                <c:pt idx="0">
                  <c:v>Programa de Doctorado en Ciencias de la Educación</c:v>
                </c:pt>
                <c:pt idx="1">
                  <c:v>Programa de Doctorado en Ciencias Económicas y Empresariales</c:v>
                </c:pt>
                <c:pt idx="2">
                  <c:v>Programa de Doctorado en Ciencias Jurídicas</c:v>
                </c:pt>
                <c:pt idx="3">
                  <c:v>Programa de Doctorado en Ciencias Sociales</c:v>
                </c:pt>
                <c:pt idx="4">
                  <c:v>Programa de Doctorado en Estudios de las Mujeres, Discursos y Prácticas de Género</c:v>
                </c:pt>
                <c:pt idx="5">
                  <c:v>Programa de Doctorado en Estudios Migratorios</c:v>
                </c:pt>
                <c:pt idx="6">
                  <c:v>Programa de Doctorado en Filosofía</c:v>
                </c:pt>
                <c:pt idx="7">
                  <c:v>Programa de Doctorado en Historia y Artes</c:v>
                </c:pt>
                <c:pt idx="8">
                  <c:v>Programa de Doctorado en Lenguas, Textos y Contextos</c:v>
                </c:pt>
              </c:strCache>
            </c:strRef>
          </c:cat>
          <c:val>
            <c:numRef>
              <c:f>(Indicadores!$AS$159,Indicadores!$AS$169,Indicadores!$AS$178,Indicadores!$AS$189,Indicadores!$AS$200,Indicadores!$AS$202,Indicadores!$AS$206,Indicadores!$AS$214,Indicadores!$AS$229)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B-4566-97C1-D5E10AF219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43470367"/>
        <c:axId val="843469535"/>
      </c:barChart>
      <c:catAx>
        <c:axId val="84347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3469535"/>
        <c:crosses val="autoZero"/>
        <c:auto val="1"/>
        <c:lblAlgn val="ctr"/>
        <c:lblOffset val="100"/>
        <c:noMultiLvlLbl val="0"/>
      </c:catAx>
      <c:valAx>
        <c:axId val="84346953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4347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Total</a:t>
            </a:r>
            <a:r>
              <a:rPr lang="es-ES" baseline="0"/>
              <a:t> p</a:t>
            </a:r>
            <a:r>
              <a:rPr lang="es-ES"/>
              <a:t>ublicaciones</a:t>
            </a:r>
            <a:r>
              <a:rPr lang="es-ES" baseline="0"/>
              <a:t> por año de lectura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Indicadores!$BB$2:$BF$2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Indicadores!$BB$242:$BF$242</c:f>
              <c:numCache>
                <c:formatCode>General</c:formatCode>
                <c:ptCount val="5"/>
                <c:pt idx="0">
                  <c:v>1136</c:v>
                </c:pt>
                <c:pt idx="1">
                  <c:v>2393</c:v>
                </c:pt>
                <c:pt idx="2">
                  <c:v>1858</c:v>
                </c:pt>
                <c:pt idx="3">
                  <c:v>2075</c:v>
                </c:pt>
                <c:pt idx="4">
                  <c:v>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0-400B-8571-1B8FB21576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795970432"/>
        <c:axId val="1795994144"/>
      </c:lineChart>
      <c:catAx>
        <c:axId val="179597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95994144"/>
        <c:crosses val="autoZero"/>
        <c:auto val="1"/>
        <c:lblAlgn val="ctr"/>
        <c:lblOffset val="100"/>
        <c:noMultiLvlLbl val="0"/>
      </c:catAx>
      <c:valAx>
        <c:axId val="1795994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95970432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Promedio</a:t>
            </a:r>
            <a:r>
              <a:rPr lang="es-ES" baseline="0"/>
              <a:t> de publicaciones por alumno y Programa de Doctorado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Indicadores!$O$159</c:f>
              <c:strCache>
                <c:ptCount val="1"/>
                <c:pt idx="0">
                  <c:v>Programa de Doctorado en Ciencias de la Educación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Indicadores!$BG$159</c:f>
              <c:numCache>
                <c:formatCode>0.0</c:formatCode>
                <c:ptCount val="1"/>
                <c:pt idx="0">
                  <c:v>5.7956204379562042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7A-477B-9B93-6251E9051104}"/>
            </c:ext>
          </c:extLst>
        </c:ser>
        <c:ser>
          <c:idx val="1"/>
          <c:order val="1"/>
          <c:tx>
            <c:strRef>
              <c:f>Indicadores!$O$169</c:f>
              <c:strCache>
                <c:ptCount val="1"/>
                <c:pt idx="0">
                  <c:v>Programa de Doctorado en Ciencias Económicas y Empresariales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Indicadores!$BG$169</c:f>
              <c:numCache>
                <c:formatCode>0.0</c:formatCode>
                <c:ptCount val="1"/>
                <c:pt idx="0">
                  <c:v>4.9423076923076925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7A-477B-9B93-6251E9051104}"/>
            </c:ext>
          </c:extLst>
        </c:ser>
        <c:ser>
          <c:idx val="2"/>
          <c:order val="2"/>
          <c:tx>
            <c:strRef>
              <c:f>Indicadores!$O$178</c:f>
              <c:strCache>
                <c:ptCount val="1"/>
                <c:pt idx="0">
                  <c:v>Programa de Doctorado en Ciencias Jurídicas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Indicadores!$BG$178</c:f>
              <c:numCache>
                <c:formatCode>0.0</c:formatCode>
                <c:ptCount val="1"/>
                <c:pt idx="0">
                  <c:v>8.3076923076923084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7A-477B-9B93-6251E9051104}"/>
            </c:ext>
          </c:extLst>
        </c:ser>
        <c:ser>
          <c:idx val="3"/>
          <c:order val="3"/>
          <c:tx>
            <c:strRef>
              <c:f>Indicadores!$O$189</c:f>
              <c:strCache>
                <c:ptCount val="1"/>
                <c:pt idx="0">
                  <c:v>Programa de Doctorado en Ciencias Sociales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Indicadores!$BG$189</c:f>
              <c:numCache>
                <c:formatCode>0.0</c:formatCode>
                <c:ptCount val="1"/>
                <c:pt idx="0">
                  <c:v>3.5925925925925926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7A-477B-9B93-6251E9051104}"/>
            </c:ext>
          </c:extLst>
        </c:ser>
        <c:ser>
          <c:idx val="4"/>
          <c:order val="4"/>
          <c:tx>
            <c:strRef>
              <c:f>Indicadores!$O$200</c:f>
              <c:strCache>
                <c:ptCount val="1"/>
                <c:pt idx="0">
                  <c:v>Programa de Doctorado en Estudios de las Mujeres, Discursos y Prácticas de Género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Indicadores!$BG$200</c:f>
              <c:numCache>
                <c:formatCode>0.0</c:formatCode>
                <c:ptCount val="1"/>
                <c:pt idx="0">
                  <c:v>3.2307692307692308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7A-477B-9B93-6251E9051104}"/>
            </c:ext>
          </c:extLst>
        </c:ser>
        <c:ser>
          <c:idx val="5"/>
          <c:order val="5"/>
          <c:tx>
            <c:strRef>
              <c:f>Indicadores!$O$202</c:f>
              <c:strCache>
                <c:ptCount val="1"/>
                <c:pt idx="0">
                  <c:v>Programa de Doctorado en Estudios Migratorios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Indicadores!$BG$202</c:f>
              <c:numCache>
                <c:formatCode>0.0</c:formatCode>
                <c:ptCount val="1"/>
                <c:pt idx="0">
                  <c:v>3.9583333333333335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7A-477B-9B93-6251E9051104}"/>
            </c:ext>
          </c:extLst>
        </c:ser>
        <c:ser>
          <c:idx val="6"/>
          <c:order val="6"/>
          <c:tx>
            <c:strRef>
              <c:f>Indicadores!$O$206</c:f>
              <c:strCache>
                <c:ptCount val="1"/>
                <c:pt idx="0">
                  <c:v>Programa de Doctorado en Filosofía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Indicadores!$BG$206</c:f>
              <c:numCache>
                <c:formatCode>0.0</c:formatCode>
                <c:ptCount val="1"/>
                <c:pt idx="0">
                  <c:v>3.1578947368421053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7A-477B-9B93-6251E9051104}"/>
            </c:ext>
          </c:extLst>
        </c:ser>
        <c:ser>
          <c:idx val="7"/>
          <c:order val="7"/>
          <c:tx>
            <c:strRef>
              <c:f>Indicadores!$O$214</c:f>
              <c:strCache>
                <c:ptCount val="1"/>
                <c:pt idx="0">
                  <c:v>Programa de Doctorado en Historia y Artes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Indicadores!$BG$214</c:f>
              <c:numCache>
                <c:formatCode>0.0</c:formatCode>
                <c:ptCount val="1"/>
                <c:pt idx="0">
                  <c:v>4.1976744186046515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87A-477B-9B93-6251E9051104}"/>
            </c:ext>
          </c:extLst>
        </c:ser>
        <c:ser>
          <c:idx val="8"/>
          <c:order val="8"/>
          <c:tx>
            <c:strRef>
              <c:f>Indicadores!$O$229</c:f>
              <c:strCache>
                <c:ptCount val="1"/>
                <c:pt idx="0">
                  <c:v>Programa de Doctorado en Lenguas, Textos y Contextos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Indicadores!$BG$229</c:f>
              <c:numCache>
                <c:formatCode>0.0</c:formatCode>
                <c:ptCount val="1"/>
                <c:pt idx="0">
                  <c:v>4.6875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7A-477B-9B93-6251E90511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68619215"/>
        <c:axId val="1268609647"/>
      </c:barChart>
      <c:catAx>
        <c:axId val="12686192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68609647"/>
        <c:crosses val="autoZero"/>
        <c:auto val="1"/>
        <c:lblAlgn val="ctr"/>
        <c:lblOffset val="100"/>
        <c:noMultiLvlLbl val="0"/>
      </c:catAx>
      <c:valAx>
        <c:axId val="126860964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26861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Promedio de publicaciones por Programa</a:t>
            </a:r>
            <a:r>
              <a:rPr lang="es-ES" baseline="0"/>
              <a:t> de Doctorado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Indicadores!$O$159</c:f>
              <c:strCache>
                <c:ptCount val="1"/>
                <c:pt idx="0">
                  <c:v>Programa de Doctorado en Ciencias de la Educación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Indicadores!$BM$159</c:f>
              <c:numCache>
                <c:formatCode>0.0</c:formatCode>
                <c:ptCount val="1"/>
                <c:pt idx="0">
                  <c:v>87.777777777777771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E9-4E79-A206-D05014FFD3EF}"/>
            </c:ext>
          </c:extLst>
        </c:ser>
        <c:ser>
          <c:idx val="1"/>
          <c:order val="1"/>
          <c:tx>
            <c:strRef>
              <c:f>Indicadores!$O$169</c:f>
              <c:strCache>
                <c:ptCount val="1"/>
                <c:pt idx="0">
                  <c:v>Programa de Doctorado en Ciencias Económicas y Empresariales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Indicadores!$BM$169</c:f>
              <c:numCache>
                <c:formatCode>0.0</c:formatCode>
                <c:ptCount val="1"/>
                <c:pt idx="0">
                  <c:v>31.75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9-4E79-A206-D05014FFD3EF}"/>
            </c:ext>
          </c:extLst>
        </c:ser>
        <c:ser>
          <c:idx val="2"/>
          <c:order val="2"/>
          <c:tx>
            <c:strRef>
              <c:f>Indicadores!$O$178</c:f>
              <c:strCache>
                <c:ptCount val="1"/>
                <c:pt idx="0">
                  <c:v>Programa de Doctorado en Ciencias Jurídicas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Indicadores!$BM$178</c:f>
              <c:numCache>
                <c:formatCode>0.0</c:formatCode>
                <c:ptCount val="1"/>
                <c:pt idx="0">
                  <c:v>21.1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E9-4E79-A206-D05014FFD3EF}"/>
            </c:ext>
          </c:extLst>
        </c:ser>
        <c:ser>
          <c:idx val="3"/>
          <c:order val="3"/>
          <c:tx>
            <c:strRef>
              <c:f>Indicadores!$O$189</c:f>
              <c:strCache>
                <c:ptCount val="1"/>
                <c:pt idx="0">
                  <c:v>Programa de Doctorado en Ciencias Sociales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Indicadores!$BM$189</c:f>
              <c:numCache>
                <c:formatCode>0.0</c:formatCode>
                <c:ptCount val="1"/>
                <c:pt idx="0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E9-4E79-A206-D05014FFD3EF}"/>
            </c:ext>
          </c:extLst>
        </c:ser>
        <c:ser>
          <c:idx val="4"/>
          <c:order val="4"/>
          <c:tx>
            <c:strRef>
              <c:f>Indicadores!$O$200</c:f>
              <c:strCache>
                <c:ptCount val="1"/>
                <c:pt idx="0">
                  <c:v>Programa de Doctorado en Estudios de las Mujeres, Discursos y Prácticas de Género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Indicadores!$BM$200</c:f>
              <c:numCache>
                <c:formatCode>0.0</c:formatCode>
                <c:ptCount val="1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E9-4E79-A206-D05014FFD3EF}"/>
            </c:ext>
          </c:extLst>
        </c:ser>
        <c:ser>
          <c:idx val="5"/>
          <c:order val="5"/>
          <c:tx>
            <c:strRef>
              <c:f>Indicadores!$O$202</c:f>
              <c:strCache>
                <c:ptCount val="1"/>
                <c:pt idx="0">
                  <c:v>Programa de Doctorado en Estudios Migratorios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Indicadores!$BM$202</c:f>
              <c:numCache>
                <c:formatCode>0.0</c:formatCode>
                <c:ptCount val="1"/>
                <c:pt idx="0">
                  <c:v>31.666666666666668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E9-4E79-A206-D05014FFD3EF}"/>
            </c:ext>
          </c:extLst>
        </c:ser>
        <c:ser>
          <c:idx val="6"/>
          <c:order val="6"/>
          <c:tx>
            <c:strRef>
              <c:f>Indicadores!$O$206</c:f>
              <c:strCache>
                <c:ptCount val="1"/>
                <c:pt idx="0">
                  <c:v>Programa de Doctorado en Filosofía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Indicadores!$BM$206</c:f>
              <c:numCache>
                <c:formatCode>0.0</c:formatCode>
                <c:ptCount val="1"/>
                <c:pt idx="0">
                  <c:v>8.5714285714285712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E9-4E79-A206-D05014FFD3EF}"/>
            </c:ext>
          </c:extLst>
        </c:ser>
        <c:ser>
          <c:idx val="7"/>
          <c:order val="7"/>
          <c:tx>
            <c:strRef>
              <c:f>Indicadores!$O$214</c:f>
              <c:strCache>
                <c:ptCount val="1"/>
                <c:pt idx="0">
                  <c:v>Programa de Doctorado en Historia y Artes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Indicadores!$BM$214</c:f>
              <c:numCache>
                <c:formatCode>0.0</c:formatCode>
                <c:ptCount val="1"/>
                <c:pt idx="0">
                  <c:v>24.071428571428573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E9-4E79-A206-D05014FFD3EF}"/>
            </c:ext>
          </c:extLst>
        </c:ser>
        <c:ser>
          <c:idx val="8"/>
          <c:order val="8"/>
          <c:tx>
            <c:strRef>
              <c:f>Indicadores!$O$229</c:f>
              <c:strCache>
                <c:ptCount val="1"/>
                <c:pt idx="0">
                  <c:v>Programa de Doctorado en Lenguas, Textos y Contextos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Indicadores!$BM$229</c:f>
              <c:numCache>
                <c:formatCode>0.0</c:formatCode>
                <c:ptCount val="1"/>
                <c:pt idx="0">
                  <c:v>18.75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E9-4E79-A206-D05014FFD3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98744095"/>
        <c:axId val="698738687"/>
      </c:barChart>
      <c:catAx>
        <c:axId val="69874409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98738687"/>
        <c:crosses val="autoZero"/>
        <c:auto val="1"/>
        <c:lblAlgn val="ctr"/>
        <c:lblOffset val="100"/>
        <c:noMultiLvlLbl val="0"/>
      </c:catAx>
      <c:valAx>
        <c:axId val="6987386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69874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300" b="0" i="0" u="none" strike="noStrike" baseline="0">
                <a:effectLst/>
              </a:rPr>
              <a:t>Programa de Doctorado en Ciencias de la Educación</a:t>
            </a:r>
            <a:endParaRPr lang="es-ES" sz="1300" b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Indicadores!$O$160:$T$168</c:f>
              <c:strCache>
                <c:ptCount val="9"/>
                <c:pt idx="0">
                  <c:v>Currículum, Organización y Formación para la Equidad en la Sociedad del Conocimiento</c:v>
                </c:pt>
                <c:pt idx="1">
                  <c:v>Diagnóstico, Evaluación e Intervención Psicoeducativa</c:v>
                </c:pt>
                <c:pt idx="2">
                  <c:v>Didáctica de las Ciencias Experimentales y Educación para la Sostenibilidad</c:v>
                </c:pt>
                <c:pt idx="3">
                  <c:v>Didáctica de las Lenguas y sus Literaturas</c:v>
                </c:pt>
                <c:pt idx="4">
                  <c:v>Educación Matemática</c:v>
                </c:pt>
                <c:pt idx="5">
                  <c:v>Investigación en Educación Física y Deportiva</c:v>
                </c:pt>
                <c:pt idx="6">
                  <c:v>Investigación en Educación Musical y en Artes Plásticas</c:v>
                </c:pt>
                <c:pt idx="7">
                  <c:v>Investigación en Educación: Aspectos Teóricos, Históricos y de Educación Social</c:v>
                </c:pt>
                <c:pt idx="8">
                  <c:v>Psicología, Educación y Desarrollo</c:v>
                </c:pt>
              </c:strCache>
            </c:strRef>
          </c:cat>
          <c:val>
            <c:numRef>
              <c:f>Indicadores!$U$160:$U$168</c:f>
              <c:numCache>
                <c:formatCode>General</c:formatCode>
                <c:ptCount val="9"/>
                <c:pt idx="0">
                  <c:v>42</c:v>
                </c:pt>
                <c:pt idx="1">
                  <c:v>13</c:v>
                </c:pt>
                <c:pt idx="2">
                  <c:v>5</c:v>
                </c:pt>
                <c:pt idx="3">
                  <c:v>16</c:v>
                </c:pt>
                <c:pt idx="4">
                  <c:v>25</c:v>
                </c:pt>
                <c:pt idx="5">
                  <c:v>29</c:v>
                </c:pt>
                <c:pt idx="6">
                  <c:v>8</c:v>
                </c:pt>
                <c:pt idx="7">
                  <c:v>14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CB-49B6-83BF-B354CF07255F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Indicadores!$O$160:$T$168</c:f>
              <c:strCache>
                <c:ptCount val="9"/>
                <c:pt idx="0">
                  <c:v>Currículum, Organización y Formación para la Equidad en la Sociedad del Conocimiento</c:v>
                </c:pt>
                <c:pt idx="1">
                  <c:v>Diagnóstico, Evaluación e Intervención Psicoeducativa</c:v>
                </c:pt>
                <c:pt idx="2">
                  <c:v>Didáctica de las Ciencias Experimentales y Educación para la Sostenibilidad</c:v>
                </c:pt>
                <c:pt idx="3">
                  <c:v>Didáctica de las Lenguas y sus Literaturas</c:v>
                </c:pt>
                <c:pt idx="4">
                  <c:v>Educación Matemática</c:v>
                </c:pt>
                <c:pt idx="5">
                  <c:v>Investigación en Educación Física y Deportiva</c:v>
                </c:pt>
                <c:pt idx="6">
                  <c:v>Investigación en Educación Musical y en Artes Plásticas</c:v>
                </c:pt>
                <c:pt idx="7">
                  <c:v>Investigación en Educación: Aspectos Teóricos, Históricos y de Educación Social</c:v>
                </c:pt>
                <c:pt idx="8">
                  <c:v>Psicología, Educación y Desarrollo</c:v>
                </c:pt>
              </c:strCache>
            </c:strRef>
          </c:cat>
          <c:val>
            <c:numRef>
              <c:f>Indicadores!$AT$160:$AT$168</c:f>
              <c:numCache>
                <c:formatCode>General</c:formatCode>
                <c:ptCount val="9"/>
                <c:pt idx="0">
                  <c:v>288</c:v>
                </c:pt>
                <c:pt idx="1">
                  <c:v>47</c:v>
                </c:pt>
                <c:pt idx="2">
                  <c:v>10</c:v>
                </c:pt>
                <c:pt idx="3">
                  <c:v>40</c:v>
                </c:pt>
                <c:pt idx="4">
                  <c:v>81</c:v>
                </c:pt>
                <c:pt idx="5">
                  <c:v>221</c:v>
                </c:pt>
                <c:pt idx="6">
                  <c:v>21</c:v>
                </c:pt>
                <c:pt idx="7">
                  <c:v>66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CB-49B6-83BF-B354CF0725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78075743"/>
        <c:axId val="1778076991"/>
      </c:barChart>
      <c:catAx>
        <c:axId val="177807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78076991"/>
        <c:crosses val="autoZero"/>
        <c:auto val="1"/>
        <c:lblAlgn val="ctr"/>
        <c:lblOffset val="100"/>
        <c:noMultiLvlLbl val="0"/>
      </c:catAx>
      <c:valAx>
        <c:axId val="177807699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78075743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300" b="0" i="0" u="none" strike="noStrike" baseline="0">
                <a:effectLst/>
              </a:rPr>
              <a:t>Programa de Doctorado en Ciencias Económicas y Empresariales</a:t>
            </a:r>
            <a:endParaRPr lang="es-ES" sz="1300" b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Indicadores!$O$170:$T$177</c:f>
              <c:strCache>
                <c:ptCount val="8"/>
                <c:pt idx="0">
                  <c:v>Análisis económico</c:v>
                </c:pt>
                <c:pt idx="1">
                  <c:v>Dirección estratégica, creación de empresas, flexibilidad y calidad</c:v>
                </c:pt>
                <c:pt idx="2">
                  <c:v>Marketing y consumo</c:v>
                </c:pt>
                <c:pt idx="3">
                  <c:v>Innovación y estrategia en Empresas y Organizaciones: Medio Ambiente, Internacionalización y Recursos Humanos</c:v>
                </c:pt>
                <c:pt idx="4">
                  <c:v>Internacionalización Económica, Instituciones y Políticas</c:v>
                </c:pt>
                <c:pt idx="5">
                  <c:v>Economía pública: recaudación, salud, dependencia, educación y gestión del agua</c:v>
                </c:pt>
                <c:pt idx="6">
                  <c:v>Sistemas de información económico-financiera para la dirección, gestión y control de entidades públicas y privadas</c:v>
                </c:pt>
                <c:pt idx="7">
                  <c:v>Técnicas Cuantitativas Avanzadas en el Ámbito Económico y Empresarial</c:v>
                </c:pt>
              </c:strCache>
            </c:strRef>
          </c:cat>
          <c:val>
            <c:numRef>
              <c:f>Indicadores!$U$170:$U$177</c:f>
              <c:numCache>
                <c:formatCode>General</c:formatCode>
                <c:ptCount val="8"/>
                <c:pt idx="0">
                  <c:v>4</c:v>
                </c:pt>
                <c:pt idx="1">
                  <c:v>9</c:v>
                </c:pt>
                <c:pt idx="2">
                  <c:v>14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1-4D54-A260-E1DDF980EE1E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Indicadores!$O$170:$T$177</c:f>
              <c:strCache>
                <c:ptCount val="8"/>
                <c:pt idx="0">
                  <c:v>Análisis económico</c:v>
                </c:pt>
                <c:pt idx="1">
                  <c:v>Dirección estratégica, creación de empresas, flexibilidad y calidad</c:v>
                </c:pt>
                <c:pt idx="2">
                  <c:v>Marketing y consumo</c:v>
                </c:pt>
                <c:pt idx="3">
                  <c:v>Innovación y estrategia en Empresas y Organizaciones: Medio Ambiente, Internacionalización y Recursos Humanos</c:v>
                </c:pt>
                <c:pt idx="4">
                  <c:v>Internacionalización Económica, Instituciones y Políticas</c:v>
                </c:pt>
                <c:pt idx="5">
                  <c:v>Economía pública: recaudación, salud, dependencia, educación y gestión del agua</c:v>
                </c:pt>
                <c:pt idx="6">
                  <c:v>Sistemas de información económico-financiera para la dirección, gestión y control de entidades públicas y privadas</c:v>
                </c:pt>
                <c:pt idx="7">
                  <c:v>Técnicas Cuantitativas Avanzadas en el Ámbito Económico y Empresarial</c:v>
                </c:pt>
              </c:strCache>
            </c:strRef>
          </c:cat>
          <c:val>
            <c:numRef>
              <c:f>Indicadores!$AT$170:$AT$177</c:f>
              <c:numCache>
                <c:formatCode>General</c:formatCode>
                <c:ptCount val="8"/>
                <c:pt idx="0">
                  <c:v>10</c:v>
                </c:pt>
                <c:pt idx="1">
                  <c:v>53</c:v>
                </c:pt>
                <c:pt idx="2">
                  <c:v>98</c:v>
                </c:pt>
                <c:pt idx="3">
                  <c:v>13</c:v>
                </c:pt>
                <c:pt idx="4">
                  <c:v>15</c:v>
                </c:pt>
                <c:pt idx="5">
                  <c:v>29</c:v>
                </c:pt>
                <c:pt idx="6">
                  <c:v>21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21-4D54-A260-E1DDF980EE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43205359"/>
        <c:axId val="1743215759"/>
      </c:barChart>
      <c:catAx>
        <c:axId val="1743205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43215759"/>
        <c:crosses val="autoZero"/>
        <c:auto val="1"/>
        <c:lblAlgn val="ctr"/>
        <c:lblOffset val="100"/>
        <c:noMultiLvlLbl val="0"/>
      </c:catAx>
      <c:valAx>
        <c:axId val="174321575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43205359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 i="0" u="none" strike="noStrike" baseline="0">
                <a:effectLst/>
              </a:rPr>
              <a:t>Programa de Doctorado en Ciencias Jurídicas</a:t>
            </a:r>
            <a:endParaRPr lang="es-ES" sz="1400" b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Indicadores!$O$179:$T$188</c:f>
              <c:strCache>
                <c:ptCount val="10"/>
                <c:pt idx="0">
                  <c:v>Criminalidad y Derecho</c:v>
                </c:pt>
                <c:pt idx="1">
                  <c:v>Derecho de la protección social pública y políticas sociales del Estado del Bienestar</c:v>
                </c:pt>
                <c:pt idx="2">
                  <c:v>Derecho del Consumo</c:v>
                </c:pt>
                <c:pt idx="3">
                  <c:v>Derecho Económico, de los negocios y de la empresa</c:v>
                </c:pt>
                <c:pt idx="4">
                  <c:v>Derecho Financiero. Ingresos y gastos públicos</c:v>
                </c:pt>
                <c:pt idx="5">
                  <c:v>Derecho Internacional, de la Unión Europea y Comparado</c:v>
                </c:pt>
                <c:pt idx="6">
                  <c:v>Metodología, historia del conocimiento y la argumentación jurídica. Evaluación legislativa y aplicación del Derecho</c:v>
                </c:pt>
                <c:pt idx="7">
                  <c:v>Derecho sanitario y biotecnológico</c:v>
                </c:pt>
                <c:pt idx="8">
                  <c:v>Derecho, Medioambiente, Urbanismo y Ordenación del Territorio</c:v>
                </c:pt>
                <c:pt idx="9">
                  <c:v>Modelos de Estado, Derechos Fundamentales. Tutela judicial de derechos</c:v>
                </c:pt>
              </c:strCache>
            </c:strRef>
          </c:cat>
          <c:val>
            <c:numRef>
              <c:f>Indicadores!$U$179:$U$188</c:f>
              <c:numCache>
                <c:formatCode>General</c:formatCode>
                <c:ptCount val="10"/>
                <c:pt idx="0">
                  <c:v>9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C-4E9F-B1B1-2BC1760C5553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Indicadores!$O$179:$T$188</c:f>
              <c:strCache>
                <c:ptCount val="10"/>
                <c:pt idx="0">
                  <c:v>Criminalidad y Derecho</c:v>
                </c:pt>
                <c:pt idx="1">
                  <c:v>Derecho de la protección social pública y políticas sociales del Estado del Bienestar</c:v>
                </c:pt>
                <c:pt idx="2">
                  <c:v>Derecho del Consumo</c:v>
                </c:pt>
                <c:pt idx="3">
                  <c:v>Derecho Económico, de los negocios y de la empresa</c:v>
                </c:pt>
                <c:pt idx="4">
                  <c:v>Derecho Financiero. Ingresos y gastos públicos</c:v>
                </c:pt>
                <c:pt idx="5">
                  <c:v>Derecho Internacional, de la Unión Europea y Comparado</c:v>
                </c:pt>
                <c:pt idx="6">
                  <c:v>Metodología, historia del conocimiento y la argumentación jurídica. Evaluación legislativa y aplicación del Derecho</c:v>
                </c:pt>
                <c:pt idx="7">
                  <c:v>Derecho sanitario y biotecnológico</c:v>
                </c:pt>
                <c:pt idx="8">
                  <c:v>Derecho, Medioambiente, Urbanismo y Ordenación del Territorio</c:v>
                </c:pt>
                <c:pt idx="9">
                  <c:v>Modelos de Estado, Derechos Fundamentales. Tutela judicial de derechos</c:v>
                </c:pt>
              </c:strCache>
            </c:strRef>
          </c:cat>
          <c:val>
            <c:numRef>
              <c:f>Indicadores!$AT$179:$AT$188</c:f>
              <c:numCache>
                <c:formatCode>General</c:formatCode>
                <c:ptCount val="10"/>
                <c:pt idx="0">
                  <c:v>87</c:v>
                </c:pt>
                <c:pt idx="1">
                  <c:v>34</c:v>
                </c:pt>
                <c:pt idx="2">
                  <c:v>3</c:v>
                </c:pt>
                <c:pt idx="3">
                  <c:v>10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27</c:v>
                </c:pt>
                <c:pt idx="8">
                  <c:v>3</c:v>
                </c:pt>
                <c:pt idx="9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9C-4E9F-B1B1-2BC1760C55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614256703"/>
        <c:axId val="1614255871"/>
      </c:barChart>
      <c:catAx>
        <c:axId val="1614256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4255871"/>
        <c:crosses val="autoZero"/>
        <c:auto val="1"/>
        <c:lblAlgn val="ctr"/>
        <c:lblOffset val="100"/>
        <c:noMultiLvlLbl val="0"/>
      </c:catAx>
      <c:valAx>
        <c:axId val="161425587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14256703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 i="0" u="none" strike="noStrike" baseline="0">
                <a:effectLst/>
              </a:rPr>
              <a:t>Programa de Doctorado en Ciencias Sociales</a:t>
            </a:r>
            <a:endParaRPr lang="es-ES" sz="1400" b="0" i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Indicadores!$O$190:$T$199</c:f>
              <c:strCache>
                <c:ptCount val="10"/>
                <c:pt idx="0">
                  <c:v>Antropología de la salud, el cuidado, las adicciones y el cuerpo</c:v>
                </c:pt>
                <c:pt idx="1">
                  <c:v>Ciencia política y de la administración</c:v>
                </c:pt>
                <c:pt idx="2">
                  <c:v>Comunicación audiovisual y periodismo</c:v>
                </c:pt>
                <c:pt idx="3">
                  <c:v>Cultura de paz</c:v>
                </c:pt>
                <c:pt idx="4">
                  <c:v>Antropología y diversidad cultural: Cuidadanía, movilidad y conflicto</c:v>
                </c:pt>
                <c:pt idx="5">
                  <c:v>Desarrollo de recursos humanos y nuevas tecnologías</c:v>
                </c:pt>
                <c:pt idx="6">
                  <c:v>Trabajo social, bienestar social y políticas de protección social</c:v>
                </c:pt>
                <c:pt idx="7">
                  <c:v>Dinámicas y cambios en el espacio y en la sociedad de la Globalización</c:v>
                </c:pt>
                <c:pt idx="8">
                  <c:v>Información y comunicación científica</c:v>
                </c:pt>
                <c:pt idx="9">
                  <c:v>Problemas sociales y cursos vitales en la sociedad global</c:v>
                </c:pt>
              </c:strCache>
            </c:strRef>
          </c:cat>
          <c:val>
            <c:numRef>
              <c:f>Indicadores!$U$190:$U$199</c:f>
              <c:numCache>
                <c:formatCode>General</c:formatCode>
                <c:ptCount val="10"/>
                <c:pt idx="0">
                  <c:v>1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6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0-46B6-86D2-2C9340850C90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Indicadores!$O$190:$T$199</c:f>
              <c:strCache>
                <c:ptCount val="10"/>
                <c:pt idx="0">
                  <c:v>Antropología de la salud, el cuidado, las adicciones y el cuerpo</c:v>
                </c:pt>
                <c:pt idx="1">
                  <c:v>Ciencia política y de la administración</c:v>
                </c:pt>
                <c:pt idx="2">
                  <c:v>Comunicación audiovisual y periodismo</c:v>
                </c:pt>
                <c:pt idx="3">
                  <c:v>Cultura de paz</c:v>
                </c:pt>
                <c:pt idx="4">
                  <c:v>Antropología y diversidad cultural: Cuidadanía, movilidad y conflicto</c:v>
                </c:pt>
                <c:pt idx="5">
                  <c:v>Desarrollo de recursos humanos y nuevas tecnologías</c:v>
                </c:pt>
                <c:pt idx="6">
                  <c:v>Trabajo social, bienestar social y políticas de protección social</c:v>
                </c:pt>
                <c:pt idx="7">
                  <c:v>Dinámicas y cambios en el espacio y en la sociedad de la Globalización</c:v>
                </c:pt>
                <c:pt idx="8">
                  <c:v>Información y comunicación científica</c:v>
                </c:pt>
                <c:pt idx="9">
                  <c:v>Problemas sociales y cursos vitales en la sociedad global</c:v>
                </c:pt>
              </c:strCache>
            </c:strRef>
          </c:cat>
          <c:val>
            <c:numRef>
              <c:f>Indicadores!$AT$190:$AT$199</c:f>
              <c:numCache>
                <c:formatCode>General</c:formatCode>
                <c:ptCount val="10"/>
                <c:pt idx="0">
                  <c:v>1</c:v>
                </c:pt>
                <c:pt idx="1">
                  <c:v>7</c:v>
                </c:pt>
                <c:pt idx="2">
                  <c:v>8</c:v>
                </c:pt>
                <c:pt idx="3">
                  <c:v>1</c:v>
                </c:pt>
                <c:pt idx="4">
                  <c:v>27</c:v>
                </c:pt>
                <c:pt idx="5">
                  <c:v>1</c:v>
                </c:pt>
                <c:pt idx="6">
                  <c:v>5</c:v>
                </c:pt>
                <c:pt idx="7">
                  <c:v>4</c:v>
                </c:pt>
                <c:pt idx="8">
                  <c:v>38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C0-46B6-86D2-2C9340850C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50495295"/>
        <c:axId val="1750491551"/>
      </c:barChart>
      <c:catAx>
        <c:axId val="175049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50491551"/>
        <c:crosses val="autoZero"/>
        <c:auto val="1"/>
        <c:lblAlgn val="ctr"/>
        <c:lblOffset val="100"/>
        <c:noMultiLvlLbl val="0"/>
      </c:catAx>
      <c:valAx>
        <c:axId val="175049155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50495295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0" i="0" u="none" strike="noStrike" baseline="0">
                <a:effectLst/>
              </a:rPr>
              <a:t>Programa de Doctorado en Estudios de las Mujeres</a:t>
            </a:r>
            <a:r>
              <a:rPr lang="es-ES" sz="1200" b="0" i="1" u="none" strike="noStrike" baseline="0">
                <a:effectLst/>
              </a:rPr>
              <a:t>.</a:t>
            </a:r>
            <a:r>
              <a:rPr lang="es-ES" sz="1200" b="0" i="0" u="none" strike="noStrike" baseline="0">
                <a:effectLst/>
              </a:rPr>
              <a:t> Discursos y Prácticas de Género </a:t>
            </a:r>
            <a:endParaRPr lang="es-ES" sz="1200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Indicadores!$O$201</c:f>
              <c:strCache>
                <c:ptCount val="1"/>
                <c:pt idx="0">
                  <c:v>Estudios de las Mujeres y de Género: Historia, Discursos, Ciencia y Poder</c:v>
                </c:pt>
              </c:strCache>
            </c:strRef>
          </c:cat>
          <c:val>
            <c:numRef>
              <c:f>Indicadores!$U$201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B-4C3D-9425-EAD872313B97}"/>
            </c:ext>
          </c:extLst>
        </c:ser>
        <c:ser>
          <c:idx val="1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Indicadores!$O$201</c:f>
              <c:strCache>
                <c:ptCount val="1"/>
                <c:pt idx="0">
                  <c:v>Estudios de las Mujeres y de Género: Historia, Discursos, Ciencia y Poder</c:v>
                </c:pt>
              </c:strCache>
            </c:strRef>
          </c:cat>
          <c:val>
            <c:numRef>
              <c:f>Indicadores!$AT$201</c:f>
              <c:numCache>
                <c:formatCode>General</c:formatCode>
                <c:ptCount val="1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B-4C3D-9425-EAD872313B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74492431"/>
        <c:axId val="1774492847"/>
      </c:barChart>
      <c:catAx>
        <c:axId val="1774492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74492847"/>
        <c:crosses val="autoZero"/>
        <c:auto val="1"/>
        <c:lblAlgn val="ctr"/>
        <c:lblOffset val="100"/>
        <c:noMultiLvlLbl val="0"/>
      </c:catAx>
      <c:valAx>
        <c:axId val="177449284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74492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 i="0" u="none" strike="noStrike" baseline="0">
                <a:effectLst/>
              </a:rPr>
              <a:t>Programa de Doctorado en Estudios Migratorios</a:t>
            </a:r>
            <a:endParaRPr lang="es-ES" sz="1400" b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Indicadores!$O$203:$T$205</c:f>
              <c:strCache>
                <c:ptCount val="3"/>
                <c:pt idx="0">
                  <c:v>Análisis social, cultural y de género de las migraciones</c:v>
                </c:pt>
                <c:pt idx="1">
                  <c:v>Análisis social, jurídico y político de las migraciones y desarrollo humano: estado de bienestar y gestión de la diversidad</c:v>
                </c:pt>
                <c:pt idx="2">
                  <c:v>Globalización y movilidad humana: trabajo y migraciones</c:v>
                </c:pt>
              </c:strCache>
            </c:strRef>
          </c:cat>
          <c:val>
            <c:numRef>
              <c:f>Indicadores!$U$203:$U$205</c:f>
              <c:numCache>
                <c:formatCode>General</c:formatCode>
                <c:ptCount val="3"/>
                <c:pt idx="0">
                  <c:v>24</c:v>
                </c:pt>
                <c:pt idx="1">
                  <c:v>9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3B-417A-9B07-F97ACB9F9FB9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Indicadores!$O$203:$T$205</c:f>
              <c:strCache>
                <c:ptCount val="3"/>
                <c:pt idx="0">
                  <c:v>Análisis social, cultural y de género de las migraciones</c:v>
                </c:pt>
                <c:pt idx="1">
                  <c:v>Análisis social, jurídico y político de las migraciones y desarrollo humano: estado de bienestar y gestión de la diversidad</c:v>
                </c:pt>
                <c:pt idx="2">
                  <c:v>Globalización y movilidad humana: trabajo y migraciones</c:v>
                </c:pt>
              </c:strCache>
            </c:strRef>
          </c:cat>
          <c:val>
            <c:numRef>
              <c:f>Indicadores!$AT$203:$AT$205</c:f>
              <c:numCache>
                <c:formatCode>General</c:formatCode>
                <c:ptCount val="3"/>
                <c:pt idx="0">
                  <c:v>85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3B-417A-9B07-F97ACB9F9F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78372943"/>
        <c:axId val="1778373359"/>
      </c:barChart>
      <c:catAx>
        <c:axId val="177837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78373359"/>
        <c:crosses val="autoZero"/>
        <c:auto val="1"/>
        <c:lblAlgn val="ctr"/>
        <c:lblOffset val="100"/>
        <c:noMultiLvlLbl val="0"/>
      </c:catAx>
      <c:valAx>
        <c:axId val="177837335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78372943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 i="0" u="none" strike="noStrike" baseline="0">
                <a:effectLst/>
              </a:rPr>
              <a:t>Programa de Doctorado en Filosofía</a:t>
            </a:r>
            <a:endParaRPr lang="es-ES" sz="1400" b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Indicadores!$O$207:$T$213</c:f>
              <c:strCache>
                <c:ptCount val="7"/>
                <c:pt idx="0">
                  <c:v>Génesis de la modernidad: de Leibniz a Kant</c:v>
                </c:pt>
                <c:pt idx="1">
                  <c:v>Filosofía española y latinoamericana: del barroco a la actualidad</c:v>
                </c:pt>
                <c:pt idx="2">
                  <c:v>Bioética</c:v>
                </c:pt>
                <c:pt idx="3">
                  <c:v>Normatividad y racionalidad: organizaciones y políticas públicas</c:v>
                </c:pt>
                <c:pt idx="4">
                  <c:v>Metafísica y Nihilismo: filosofía como terapia y el problema de las pasiones</c:v>
                </c:pt>
                <c:pt idx="5">
                  <c:v>Lenguaje, mente y conocimiento: perspectivas formales y pragmáticas</c:v>
                </c:pt>
                <c:pt idx="6">
                  <c:v>Hermenéutica: crítica y diferencia. Problemas interculturales</c:v>
                </c:pt>
              </c:strCache>
            </c:strRef>
          </c:cat>
          <c:val>
            <c:numRef>
              <c:f>Indicadores!$U$207:$U$213</c:f>
              <c:numCache>
                <c:formatCode>General</c:formatCode>
                <c:ptCount val="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7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A-470E-B147-25EC0FB25613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Indicadores!$O$207:$T$213</c:f>
              <c:strCache>
                <c:ptCount val="7"/>
                <c:pt idx="0">
                  <c:v>Génesis de la modernidad: de Leibniz a Kant</c:v>
                </c:pt>
                <c:pt idx="1">
                  <c:v>Filosofía española y latinoamericana: del barroco a la actualidad</c:v>
                </c:pt>
                <c:pt idx="2">
                  <c:v>Bioética</c:v>
                </c:pt>
                <c:pt idx="3">
                  <c:v>Normatividad y racionalidad: organizaciones y políticas públicas</c:v>
                </c:pt>
                <c:pt idx="4">
                  <c:v>Metafísica y Nihilismo: filosofía como terapia y el problema de las pasiones</c:v>
                </c:pt>
                <c:pt idx="5">
                  <c:v>Lenguaje, mente y conocimiento: perspectivas formales y pragmáticas</c:v>
                </c:pt>
                <c:pt idx="6">
                  <c:v>Hermenéutica: crítica y diferencia. Problemas interculturales</c:v>
                </c:pt>
              </c:strCache>
            </c:strRef>
          </c:cat>
          <c:val>
            <c:numRef>
              <c:f>Indicadores!$AT$207:$AT$213</c:f>
              <c:numCache>
                <c:formatCode>General</c:formatCode>
                <c:ptCount val="7"/>
                <c:pt idx="0">
                  <c:v>8</c:v>
                </c:pt>
                <c:pt idx="1">
                  <c:v>0</c:v>
                </c:pt>
                <c:pt idx="2">
                  <c:v>9</c:v>
                </c:pt>
                <c:pt idx="3">
                  <c:v>5</c:v>
                </c:pt>
                <c:pt idx="4">
                  <c:v>3</c:v>
                </c:pt>
                <c:pt idx="5">
                  <c:v>32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A-470E-B147-25EC0FB256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12085039"/>
        <c:axId val="1712082543"/>
      </c:barChart>
      <c:catAx>
        <c:axId val="1712085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2082543"/>
        <c:crosses val="autoZero"/>
        <c:auto val="1"/>
        <c:lblAlgn val="ctr"/>
        <c:lblOffset val="100"/>
        <c:noMultiLvlLbl val="0"/>
      </c:catAx>
      <c:valAx>
        <c:axId val="17120825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12085039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 i="0" u="none" strike="noStrike" baseline="0">
                <a:effectLst/>
              </a:rPr>
              <a:t>Programa de Doctorado en Historia y Artes</a:t>
            </a:r>
            <a:endParaRPr lang="es-ES" sz="1400" b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Indicadores!$O$215:$T$228</c:f>
              <c:strCache>
                <c:ptCount val="14"/>
                <c:pt idx="0">
                  <c:v>Al-Andalus y las sociedades feudales</c:v>
                </c:pt>
                <c:pt idx="1">
                  <c:v>Arqueología y cultura material</c:v>
                </c:pt>
                <c:pt idx="2">
                  <c:v>Cambios sociopolíticos en el mundo moderno y contemporáneo</c:v>
                </c:pt>
                <c:pt idx="3">
                  <c:v>Conocimiento y Tutela del Patrimonio Histórico</c:v>
                </c:pt>
                <c:pt idx="4">
                  <c:v>Creación Artística, Audiovisual y Reflexión Crítica</c:v>
                </c:pt>
                <c:pt idx="5">
                  <c:v>Cultura Artística</c:v>
                </c:pt>
                <c:pt idx="6">
                  <c:v>Cultura, Creación y Educación Musical</c:v>
                </c:pt>
                <c:pt idx="7">
                  <c:v>Formas de pensamiento y Religión</c:v>
                </c:pt>
                <c:pt idx="8">
                  <c:v>Género e Historia</c:v>
                </c:pt>
                <c:pt idx="9">
                  <c:v>Historia y tradición clásica</c:v>
                </c:pt>
                <c:pt idx="10">
                  <c:v>Restauración y Conservación de Bienes patrimoniales</c:v>
                </c:pt>
                <c:pt idx="11">
                  <c:v>Salud, enfermedad, ciencia y cultura</c:v>
                </c:pt>
                <c:pt idx="12">
                  <c:v>Sociedades y Culturas Americanas</c:v>
                </c:pt>
                <c:pt idx="13">
                  <c:v>Territorio, Patrimonio y Medio Ambiente</c:v>
                </c:pt>
              </c:strCache>
            </c:strRef>
          </c:cat>
          <c:val>
            <c:numRef>
              <c:f>Indicadores!$U$215:$U$228</c:f>
              <c:numCache>
                <c:formatCode>General</c:formatCode>
                <c:ptCount val="14"/>
                <c:pt idx="0">
                  <c:v>9</c:v>
                </c:pt>
                <c:pt idx="1">
                  <c:v>16</c:v>
                </c:pt>
                <c:pt idx="2">
                  <c:v>12</c:v>
                </c:pt>
                <c:pt idx="3">
                  <c:v>7</c:v>
                </c:pt>
                <c:pt idx="4">
                  <c:v>44</c:v>
                </c:pt>
                <c:pt idx="5">
                  <c:v>10</c:v>
                </c:pt>
                <c:pt idx="6">
                  <c:v>8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9</c:v>
                </c:pt>
                <c:pt idx="1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6-47BE-BF63-D54EAEA588F2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Indicadores!$O$215:$T$228</c:f>
              <c:strCache>
                <c:ptCount val="14"/>
                <c:pt idx="0">
                  <c:v>Al-Andalus y las sociedades feudales</c:v>
                </c:pt>
                <c:pt idx="1">
                  <c:v>Arqueología y cultura material</c:v>
                </c:pt>
                <c:pt idx="2">
                  <c:v>Cambios sociopolíticos en el mundo moderno y contemporáneo</c:v>
                </c:pt>
                <c:pt idx="3">
                  <c:v>Conocimiento y Tutela del Patrimonio Histórico</c:v>
                </c:pt>
                <c:pt idx="4">
                  <c:v>Creación Artística, Audiovisual y Reflexión Crítica</c:v>
                </c:pt>
                <c:pt idx="5">
                  <c:v>Cultura Artística</c:v>
                </c:pt>
                <c:pt idx="6">
                  <c:v>Cultura, Creación y Educación Musical</c:v>
                </c:pt>
                <c:pt idx="7">
                  <c:v>Formas de pensamiento y Religión</c:v>
                </c:pt>
                <c:pt idx="8">
                  <c:v>Género e Historia</c:v>
                </c:pt>
                <c:pt idx="9">
                  <c:v>Historia y tradición clásica</c:v>
                </c:pt>
                <c:pt idx="10">
                  <c:v>Restauración y Conservación de Bienes patrimoniales</c:v>
                </c:pt>
                <c:pt idx="11">
                  <c:v>Salud, enfermedad, ciencia y cultura</c:v>
                </c:pt>
                <c:pt idx="12">
                  <c:v>Sociedades y Culturas Americanas</c:v>
                </c:pt>
                <c:pt idx="13">
                  <c:v>Territorio, Patrimonio y Medio Ambiente</c:v>
                </c:pt>
              </c:strCache>
            </c:strRef>
          </c:cat>
          <c:val>
            <c:numRef>
              <c:f>Indicadores!$AT$215:$AT$228</c:f>
              <c:numCache>
                <c:formatCode>General</c:formatCode>
                <c:ptCount val="14"/>
                <c:pt idx="0">
                  <c:v>11</c:v>
                </c:pt>
                <c:pt idx="1">
                  <c:v>71</c:v>
                </c:pt>
                <c:pt idx="2">
                  <c:v>32</c:v>
                </c:pt>
                <c:pt idx="3">
                  <c:v>18</c:v>
                </c:pt>
                <c:pt idx="4">
                  <c:v>44</c:v>
                </c:pt>
                <c:pt idx="5">
                  <c:v>41</c:v>
                </c:pt>
                <c:pt idx="6">
                  <c:v>5</c:v>
                </c:pt>
                <c:pt idx="7">
                  <c:v>43</c:v>
                </c:pt>
                <c:pt idx="8">
                  <c:v>0</c:v>
                </c:pt>
                <c:pt idx="9">
                  <c:v>15</c:v>
                </c:pt>
                <c:pt idx="10">
                  <c:v>6</c:v>
                </c:pt>
                <c:pt idx="11">
                  <c:v>23</c:v>
                </c:pt>
                <c:pt idx="12">
                  <c:v>4</c:v>
                </c:pt>
                <c:pt idx="1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A6-47BE-BF63-D54EAEA588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42200815"/>
        <c:axId val="1742208303"/>
      </c:barChart>
      <c:catAx>
        <c:axId val="174220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42208303"/>
        <c:crosses val="autoZero"/>
        <c:auto val="1"/>
        <c:lblAlgn val="ctr"/>
        <c:lblOffset val="100"/>
        <c:noMultiLvlLbl val="0"/>
      </c:catAx>
      <c:valAx>
        <c:axId val="174220830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42200815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Relación Doctorados Cotutelados y publicaciones</a:t>
            </a:r>
            <a:endParaRPr lang="es-E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Publicaciones</c:v>
          </c:tx>
          <c:spPr>
            <a:gradFill>
              <a:gsLst>
                <a:gs pos="0">
                  <a:srgbClr val="F8F8F8"/>
                </a:gs>
                <a:gs pos="0">
                  <a:schemeClr val="bg2">
                    <a:lumMod val="75000"/>
                  </a:schemeClr>
                </a:gs>
                <a:gs pos="39000">
                  <a:schemeClr val="tx1">
                    <a:lumMod val="50000"/>
                    <a:lumOff val="50000"/>
                  </a:schemeClr>
                </a:gs>
                <a:gs pos="100000">
                  <a:schemeClr val="tx1">
                    <a:lumMod val="65000"/>
                    <a:lumOff val="35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5392636748391164E-2"/>
                  <c:y val="-8.335034856926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08-4F68-8737-215D591420B6}"/>
                </c:ext>
              </c:extLst>
            </c:dLbl>
            <c:dLbl>
              <c:idx val="1"/>
              <c:layout>
                <c:manualLayout>
                  <c:x val="5.5392636748391164E-2"/>
                  <c:y val="-2.3152874602572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08-4F68-8737-215D591420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Cotutelados</c:v>
              </c:pt>
              <c:pt idx="1">
                <c:v>Sin Cotutelar</c:v>
              </c:pt>
            </c:strLit>
          </c:cat>
          <c:val>
            <c:numRef>
              <c:f>Indicadores!$AH$243:$AI$243</c:f>
              <c:numCache>
                <c:formatCode>General</c:formatCode>
                <c:ptCount val="2"/>
                <c:pt idx="0">
                  <c:v>68</c:v>
                </c:pt>
                <c:pt idx="1">
                  <c:v>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0-4BC3-9745-3A6E306A8A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95992480"/>
        <c:axId val="1795979584"/>
      </c:barChart>
      <c:lineChart>
        <c:grouping val="standard"/>
        <c:varyColors val="0"/>
        <c:ser>
          <c:idx val="0"/>
          <c:order val="0"/>
          <c:tx>
            <c:v>Doctorados</c:v>
          </c:tx>
          <c:spPr>
            <a:ln w="28575" cap="rnd">
              <a:solidFill>
                <a:srgbClr val="8E0808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8E0808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Indicadores!$AH$242:$AI$242</c:f>
              <c:numCache>
                <c:formatCode>General</c:formatCode>
                <c:ptCount val="2"/>
                <c:pt idx="0">
                  <c:v>79</c:v>
                </c:pt>
                <c:pt idx="1">
                  <c:v>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0-4BC3-9745-3A6E306A8A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95992480"/>
        <c:axId val="1795979584"/>
      </c:lineChart>
      <c:catAx>
        <c:axId val="179599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95979584"/>
        <c:crosses val="autoZero"/>
        <c:auto val="1"/>
        <c:lblAlgn val="ctr"/>
        <c:lblOffset val="100"/>
        <c:noMultiLvlLbl val="0"/>
      </c:catAx>
      <c:valAx>
        <c:axId val="17959795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9599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 i="0" u="none" strike="noStrike" baseline="0">
                <a:effectLst/>
              </a:rPr>
              <a:t>Programa de Doctorado en Lenguas</a:t>
            </a:r>
            <a:r>
              <a:rPr lang="es-ES" sz="1400" b="0" i="1" u="none" strike="noStrike" baseline="0">
                <a:effectLst/>
              </a:rPr>
              <a:t>,</a:t>
            </a:r>
            <a:r>
              <a:rPr lang="es-ES" sz="1400" b="0" i="0" u="none" strike="noStrike" baseline="0">
                <a:effectLst/>
              </a:rPr>
              <a:t> Textos y Contextos</a:t>
            </a:r>
            <a:endParaRPr lang="es-ES" sz="1400" b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Indicadores!$U$1</c:f>
              <c:strCache>
                <c:ptCount val="1"/>
                <c:pt idx="0">
                  <c:v>Alumnos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Indicadores!$O$230:$T$241</c:f>
              <c:strCache>
                <c:ptCount val="12"/>
                <c:pt idx="0">
                  <c:v>Estudios árabes e islámicos</c:v>
                </c:pt>
                <c:pt idx="1">
                  <c:v>Enseñanza de lenguas</c:v>
                </c:pt>
                <c:pt idx="2">
                  <c:v>Estudios eslavos</c:v>
                </c:pt>
                <c:pt idx="3">
                  <c:v>Estudios románicos: lengua y literatura italiana, portuguesa y catalana</c:v>
                </c:pt>
                <c:pt idx="4">
                  <c:v>Judaísmo clásico y medieval y mundo sefardí</c:v>
                </c:pt>
                <c:pt idx="5">
                  <c:v>Lengua española</c:v>
                </c:pt>
                <c:pt idx="6">
                  <c:v>Lengua y literatura francesas</c:v>
                </c:pt>
                <c:pt idx="7">
                  <c:v>Lengua y Literatura inglesas</c:v>
                </c:pt>
                <c:pt idx="8">
                  <c:v>Lingüistica teórica y aplicada y Teoría de la literatura y literatura comparada</c:v>
                </c:pt>
                <c:pt idx="9">
                  <c:v>Literatura Española e hispanoamericana</c:v>
                </c:pt>
                <c:pt idx="10">
                  <c:v>Literatura y civilización bizantinas y estudios neogriegos</c:v>
                </c:pt>
                <c:pt idx="11">
                  <c:v>Traducción e Interpretación</c:v>
                </c:pt>
              </c:strCache>
            </c:strRef>
          </c:cat>
          <c:val>
            <c:numRef>
              <c:f>Indicadores!$U$230:$U$241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7</c:v>
                </c:pt>
                <c:pt idx="6">
                  <c:v>3</c:v>
                </c:pt>
                <c:pt idx="7">
                  <c:v>7</c:v>
                </c:pt>
                <c:pt idx="8">
                  <c:v>18</c:v>
                </c:pt>
                <c:pt idx="9">
                  <c:v>11</c:v>
                </c:pt>
                <c:pt idx="10">
                  <c:v>2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0-4A68-9750-6428835B8663}"/>
            </c:ext>
          </c:extLst>
        </c:ser>
        <c:ser>
          <c:idx val="0"/>
          <c:order val="1"/>
          <c:tx>
            <c:strRef>
              <c:f>Indicadores!$AT$1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Indicadores!$O$230:$T$241</c:f>
              <c:strCache>
                <c:ptCount val="12"/>
                <c:pt idx="0">
                  <c:v>Estudios árabes e islámicos</c:v>
                </c:pt>
                <c:pt idx="1">
                  <c:v>Enseñanza de lenguas</c:v>
                </c:pt>
                <c:pt idx="2">
                  <c:v>Estudios eslavos</c:v>
                </c:pt>
                <c:pt idx="3">
                  <c:v>Estudios románicos: lengua y literatura italiana, portuguesa y catalana</c:v>
                </c:pt>
                <c:pt idx="4">
                  <c:v>Judaísmo clásico y medieval y mundo sefardí</c:v>
                </c:pt>
                <c:pt idx="5">
                  <c:v>Lengua española</c:v>
                </c:pt>
                <c:pt idx="6">
                  <c:v>Lengua y literatura francesas</c:v>
                </c:pt>
                <c:pt idx="7">
                  <c:v>Lengua y Literatura inglesas</c:v>
                </c:pt>
                <c:pt idx="8">
                  <c:v>Lingüistica teórica y aplicada y Teoría de la literatura y literatura comparada</c:v>
                </c:pt>
                <c:pt idx="9">
                  <c:v>Literatura Española e hispanoamericana</c:v>
                </c:pt>
                <c:pt idx="10">
                  <c:v>Literatura y civilización bizantinas y estudios neogriegos</c:v>
                </c:pt>
                <c:pt idx="11">
                  <c:v>Traducción e Interpretación</c:v>
                </c:pt>
              </c:strCache>
            </c:strRef>
          </c:cat>
          <c:val>
            <c:numRef>
              <c:f>Indicadores!$AT$230:$AT$241</c:f>
              <c:numCache>
                <c:formatCode>General</c:formatCode>
                <c:ptCount val="12"/>
                <c:pt idx="0">
                  <c:v>14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15</c:v>
                </c:pt>
                <c:pt idx="6">
                  <c:v>4</c:v>
                </c:pt>
                <c:pt idx="7">
                  <c:v>4</c:v>
                </c:pt>
                <c:pt idx="8">
                  <c:v>126</c:v>
                </c:pt>
                <c:pt idx="9">
                  <c:v>17</c:v>
                </c:pt>
                <c:pt idx="10">
                  <c:v>1</c:v>
                </c:pt>
                <c:pt idx="1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B0-4A68-9750-6428835B86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523591887"/>
        <c:axId val="1523593135"/>
      </c:barChart>
      <c:catAx>
        <c:axId val="1523591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593135"/>
        <c:crosses val="autoZero"/>
        <c:auto val="1"/>
        <c:lblAlgn val="ctr"/>
        <c:lblOffset val="100"/>
        <c:noMultiLvlLbl val="0"/>
      </c:catAx>
      <c:valAx>
        <c:axId val="152359313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23591887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_xlchart.v1.0</cx:f>
      </cx:strDim>
      <cx:numDim type="size">
        <cx:f dir="row">_xlchart.v1.1</cx:f>
      </cx:numDim>
    </cx:data>
  </cx:chartData>
  <cx:chart>
    <cx:title pos="t" align="ctr" overlay="0">
      <cx:tx>
        <cx:txData>
          <cx:v>Total tesis publicadas en Digibug, TESEO y Dialnet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s-ES" sz="1400" b="0"/>
            <a:t>Total tesis publicadas en Digibug, TESEO y Dialnet</a:t>
          </a:r>
        </a:p>
      </cx:txPr>
    </cx:title>
    <cx:plotArea>
      <cx:plotAreaRegion>
        <cx:series layoutId="treemap" uniqueId="{A4D43EBF-65A2-499D-9BBA-88BA1BFCD7A8}">
          <cx:dataPt idx="0">
            <cx:spPr>
              <a:gradFill>
                <a:gsLst>
                  <a:gs pos="0">
                    <a:schemeClr val="bg1">
                      <a:lumMod val="50000"/>
                    </a:schemeClr>
                  </a:gs>
                  <a:gs pos="0">
                    <a:srgbClr val="D60C0C"/>
                  </a:gs>
                  <a:gs pos="29000">
                    <a:srgbClr val="A30909"/>
                  </a:gs>
                  <a:gs pos="91000">
                    <a:srgbClr val="700606"/>
                  </a:gs>
                </a:gsLst>
                <a:lin ang="0" scaled="0"/>
              </a:gradFill>
            </cx:spPr>
          </cx:dataPt>
          <cx:dataPt idx="1">
            <cx:spPr>
              <a:gradFill>
                <a:gsLst>
                  <a:gs pos="0">
                    <a:srgbClr val="F8F8F8"/>
                  </a:gs>
                  <a:gs pos="0">
                    <a:schemeClr val="accent5">
                      <a:lumMod val="60000"/>
                      <a:lumOff val="40000"/>
                    </a:schemeClr>
                  </a:gs>
                  <a:gs pos="48000">
                    <a:schemeClr val="accent5">
                      <a:lumMod val="75000"/>
                    </a:schemeClr>
                  </a:gs>
                  <a:gs pos="91000">
                    <a:schemeClr val="accent5">
                      <a:lumMod val="50000"/>
                    </a:schemeClr>
                  </a:gs>
                </a:gsLst>
                <a:lin ang="0" scaled="0"/>
              </a:gradFill>
            </cx:spPr>
          </cx:dataPt>
          <cx:dataPt idx="2">
            <cx:spPr>
              <a:gradFill>
                <a:gsLst>
                  <a:gs pos="0">
                    <a:schemeClr val="bg1">
                      <a:lumMod val="50000"/>
                    </a:schemeClr>
                  </a:gs>
                  <a:gs pos="0">
                    <a:srgbClr val="C7C7C7"/>
                  </a:gs>
                  <a:gs pos="41000">
                    <a:schemeClr val="bg1">
                      <a:lumMod val="50000"/>
                    </a:schemeClr>
                  </a:gs>
                  <a:gs pos="91000">
                    <a:schemeClr val="tx1">
                      <a:lumMod val="50000"/>
                      <a:lumOff val="50000"/>
                    </a:schemeClr>
                  </a:gs>
                </a:gsLst>
                <a:lin ang="0" scaled="0"/>
              </a:gradFill>
            </cx:spPr>
          </cx:dataPt>
          <cx:dataLabels pos="inEnd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sz="1600" b="1"/>
                </a:pPr>
                <a:endParaRPr lang="es-ES" sz="1600" b="1"/>
              </a:p>
            </cx:txPr>
            <cx:visibility seriesName="0" categoryName="1" value="0"/>
            <cx:dataLabel idx="0" pos="inEnd">
              <cx:visibility seriesName="0" categoryName="0" value="1"/>
              <cx:separator>, </cx:separator>
            </cx:dataLabel>
            <cx:dataLabel idx="1" pos="inEnd">
              <cx:visibility seriesName="0" categoryName="0" value="1"/>
              <cx:separator>, </cx:separator>
            </cx:dataLabel>
            <cx:dataLabel idx="2" pos="inEnd">
              <cx:visibility seriesName="0" categoryName="0" value="1"/>
              <cx:separator>, </cx:separator>
            </cx:dataLabel>
          </cx:dataLabels>
          <cx:dataId val="0"/>
          <cx:layoutPr>
            <cx:parentLabelLayout val="banner"/>
          </cx:layoutPr>
        </cx:series>
      </cx:plotAreaRegion>
    </cx:plotArea>
    <cx:legend pos="b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/>
  </cx:chartData>
  <cx:chart>
    <cx:plotArea>
      <cx:plotAreaRegion>
        <cx:series layoutId="sunburst" uniqueId="{4166BE35-2A6D-439B-81F0-40ACD2FF6BE5}">
          <cx:tx>
            <cx:txData>
              <cx:f>_xlchart.v1.2</cx:f>
              <cx:v>Alumnos</cx:v>
            </cx:txData>
          </cx:tx>
          <cx:spPr>
            <a:gradFill>
              <a:gsLst>
                <a:gs pos="0">
                  <a:schemeClr val="bg1">
                    <a:lumMod val="50000"/>
                  </a:schemeClr>
                </a:gs>
                <a:gs pos="0">
                  <a:schemeClr val="bg1">
                    <a:lumMod val="85000"/>
                  </a:schemeClr>
                </a:gs>
                <a:gs pos="60000">
                  <a:schemeClr val="bg1">
                    <a:lumMod val="65000"/>
                  </a:schemeClr>
                </a:gs>
                <a:gs pos="100000">
                  <a:schemeClr val="bg1">
                    <a:lumMod val="50000"/>
                  </a:schemeClr>
                </a:gs>
              </a:gsLst>
              <a:lin ang="5400000" scaled="1"/>
            </a:gradFill>
          </cx:spPr>
          <cx:dataPt idx="0">
            <cx:spPr>
              <a:gradFill>
                <a:gsLst>
                  <a:gs pos="0">
                    <a:srgbClr val="700606"/>
                  </a:gs>
                  <a:gs pos="0">
                    <a:srgbClr val="D60C0C"/>
                  </a:gs>
                  <a:gs pos="60000">
                    <a:srgbClr val="A30909"/>
                  </a:gs>
                  <a:gs pos="100000">
                    <a:srgbClr val="700606"/>
                  </a:gs>
                </a:gsLst>
              </a:gradFill>
            </cx:spPr>
          </cx:dataPt>
          <cx:dataPt idx="1">
            <cx:spPr>
              <a:gradFill>
                <a:gsLst>
                  <a:gs pos="0">
                    <a:schemeClr val="bg1">
                      <a:lumMod val="50000"/>
                    </a:schemeClr>
                  </a:gs>
                  <a:gs pos="0">
                    <a:srgbClr val="C7C7C7"/>
                  </a:gs>
                  <a:gs pos="45000">
                    <a:schemeClr val="bg1">
                      <a:lumMod val="65000"/>
                    </a:schemeClr>
                  </a:gs>
                  <a:gs pos="91000">
                    <a:schemeClr val="bg1">
                      <a:lumMod val="50000"/>
                    </a:schemeClr>
                  </a:gs>
                </a:gsLst>
              </a:gradFill>
            </cx:spPr>
          </cx:dataPt>
          <cx:dataLabels pos="ctr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sz="1200" b="1"/>
                </a:pPr>
                <a:endParaRPr lang="es-ES" sz="1200" b="1"/>
              </a:p>
            </cx:txPr>
            <cx:visibility seriesName="0" categoryName="0" value="1"/>
            <cx:separator>, </cx:separator>
          </cx:dataLabels>
          <cx:dataId val="0"/>
        </cx:series>
      </cx:plotAreaRegion>
    </cx:plotArea>
    <cx:legend pos="r" align="ctr" overlay="0">
      <cx:txPr>
        <a:bodyPr spcFirstLastPara="1" vertOverflow="ellipsis" wrap="square" lIns="0" tIns="0" rIns="0" bIns="0" anchor="ctr" anchorCtr="1"/>
        <a:lstStyle/>
        <a:p>
          <a:pPr>
            <a:defRPr lang="es-ES" sz="11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defRPr>
          </a:pPr>
          <a:endParaRPr lang="es-ES" sz="1100"/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5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413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2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2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2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2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2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2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2"/>
    </cs:fontRef>
  </cs:dropLine>
  <cs:errorBar>
    <cs:lnRef idx="0"/>
    <cs:fillRef idx="0"/>
    <cs:effectRef idx="0"/>
    <cs:fontRef idx="minor">
      <a:schemeClr val="tx2"/>
    </cs:fontRef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</cs:hiLoLine>
  <cs:leaderLine>
    <cs:lnRef idx="0"/>
    <cs:fillRef idx="0"/>
    <cs:effectRef idx="0"/>
    <cs:fontRef idx="minor">
      <a:schemeClr val="tx2"/>
    </cs:fontRef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2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2"/>
    </cs:fontRef>
    <cs:defRPr sz="900"/>
  </cs:valueAxis>
  <cs:wall>
    <cs:lnRef idx="0"/>
    <cs:fillRef idx="0"/>
    <cs:effectRef idx="0"/>
    <cs:fontRef idx="minor">
      <a:schemeClr val="tx2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microsoft.com/office/2014/relationships/chartEx" Target="../charts/chartEx1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5" Type="http://schemas.microsoft.com/office/2014/relationships/chartEx" Target="../charts/chartEx2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13" Type="http://schemas.openxmlformats.org/officeDocument/2006/relationships/chart" Target="../charts/chart26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12" Type="http://schemas.openxmlformats.org/officeDocument/2006/relationships/chart" Target="../charts/chart25.xml"/><Relationship Id="rId2" Type="http://schemas.openxmlformats.org/officeDocument/2006/relationships/chart" Target="../charts/chart15.xml"/><Relationship Id="rId16" Type="http://schemas.openxmlformats.org/officeDocument/2006/relationships/chart" Target="../charts/chart29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11" Type="http://schemas.openxmlformats.org/officeDocument/2006/relationships/chart" Target="../charts/chart24.xml"/><Relationship Id="rId5" Type="http://schemas.openxmlformats.org/officeDocument/2006/relationships/chart" Target="../charts/chart18.xml"/><Relationship Id="rId15" Type="http://schemas.openxmlformats.org/officeDocument/2006/relationships/chart" Target="../charts/chart28.xml"/><Relationship Id="rId10" Type="http://schemas.openxmlformats.org/officeDocument/2006/relationships/chart" Target="../charts/chart23.xml"/><Relationship Id="rId4" Type="http://schemas.openxmlformats.org/officeDocument/2006/relationships/chart" Target="../charts/chart17.xml"/><Relationship Id="rId9" Type="http://schemas.openxmlformats.org/officeDocument/2006/relationships/chart" Target="../charts/chart22.xml"/><Relationship Id="rId14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12" Type="http://schemas.openxmlformats.org/officeDocument/2006/relationships/chart" Target="../charts/chart41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11" Type="http://schemas.openxmlformats.org/officeDocument/2006/relationships/chart" Target="../charts/chart40.xml"/><Relationship Id="rId5" Type="http://schemas.openxmlformats.org/officeDocument/2006/relationships/chart" Target="../charts/chart34.xml"/><Relationship Id="rId10" Type="http://schemas.openxmlformats.org/officeDocument/2006/relationships/chart" Target="../charts/chart39.xml"/><Relationship Id="rId4" Type="http://schemas.openxmlformats.org/officeDocument/2006/relationships/chart" Target="../charts/chart33.xml"/><Relationship Id="rId9" Type="http://schemas.openxmlformats.org/officeDocument/2006/relationships/chart" Target="../charts/chart3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5.xml"/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12" Type="http://schemas.openxmlformats.org/officeDocument/2006/relationships/chart" Target="../charts/chart59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11" Type="http://schemas.openxmlformats.org/officeDocument/2006/relationships/chart" Target="../charts/chart58.xml"/><Relationship Id="rId5" Type="http://schemas.openxmlformats.org/officeDocument/2006/relationships/chart" Target="../charts/chart52.xml"/><Relationship Id="rId10" Type="http://schemas.openxmlformats.org/officeDocument/2006/relationships/chart" Target="../charts/chart57.xml"/><Relationship Id="rId4" Type="http://schemas.openxmlformats.org/officeDocument/2006/relationships/chart" Target="../charts/chart51.xml"/><Relationship Id="rId9" Type="http://schemas.openxmlformats.org/officeDocument/2006/relationships/chart" Target="../charts/chart56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10" Type="http://schemas.openxmlformats.org/officeDocument/2006/relationships/chart" Target="../charts/chart69.xml"/><Relationship Id="rId4" Type="http://schemas.openxmlformats.org/officeDocument/2006/relationships/chart" Target="../charts/chart63.xml"/><Relationship Id="rId9" Type="http://schemas.openxmlformats.org/officeDocument/2006/relationships/chart" Target="../charts/chart68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7.xml"/><Relationship Id="rId3" Type="http://schemas.openxmlformats.org/officeDocument/2006/relationships/chart" Target="../charts/chart72.xml"/><Relationship Id="rId7" Type="http://schemas.openxmlformats.org/officeDocument/2006/relationships/chart" Target="../charts/chart76.xml"/><Relationship Id="rId12" Type="http://schemas.openxmlformats.org/officeDocument/2006/relationships/chart" Target="../charts/chart81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Relationship Id="rId6" Type="http://schemas.openxmlformats.org/officeDocument/2006/relationships/chart" Target="../charts/chart75.xml"/><Relationship Id="rId11" Type="http://schemas.openxmlformats.org/officeDocument/2006/relationships/chart" Target="../charts/chart80.xml"/><Relationship Id="rId5" Type="http://schemas.openxmlformats.org/officeDocument/2006/relationships/chart" Target="../charts/chart74.xml"/><Relationship Id="rId10" Type="http://schemas.openxmlformats.org/officeDocument/2006/relationships/chart" Target="../charts/chart79.xml"/><Relationship Id="rId4" Type="http://schemas.openxmlformats.org/officeDocument/2006/relationships/chart" Target="../charts/chart73.xml"/><Relationship Id="rId9" Type="http://schemas.openxmlformats.org/officeDocument/2006/relationships/chart" Target="../charts/chart7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9.xml"/><Relationship Id="rId3" Type="http://schemas.openxmlformats.org/officeDocument/2006/relationships/chart" Target="../charts/chart84.xml"/><Relationship Id="rId7" Type="http://schemas.openxmlformats.org/officeDocument/2006/relationships/chart" Target="../charts/chart88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6" Type="http://schemas.openxmlformats.org/officeDocument/2006/relationships/chart" Target="../charts/chart87.xml"/><Relationship Id="rId5" Type="http://schemas.openxmlformats.org/officeDocument/2006/relationships/chart" Target="../charts/chart86.xml"/><Relationship Id="rId4" Type="http://schemas.openxmlformats.org/officeDocument/2006/relationships/chart" Target="../charts/chart85.xml"/><Relationship Id="rId9" Type="http://schemas.openxmlformats.org/officeDocument/2006/relationships/chart" Target="../charts/chart9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66675</xdr:rowOff>
    </xdr:from>
    <xdr:to>
      <xdr:col>6</xdr:col>
      <xdr:colOff>0</xdr:colOff>
      <xdr:row>28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28</xdr:row>
      <xdr:rowOff>138793</xdr:rowOff>
    </xdr:from>
    <xdr:to>
      <xdr:col>12</xdr:col>
      <xdr:colOff>9525</xdr:colOff>
      <xdr:row>43</xdr:row>
      <xdr:rowOff>24493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119743</xdr:rowOff>
    </xdr:from>
    <xdr:to>
      <xdr:col>6</xdr:col>
      <xdr:colOff>0</xdr:colOff>
      <xdr:row>43</xdr:row>
      <xdr:rowOff>5443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742950</xdr:colOff>
      <xdr:row>43</xdr:row>
      <xdr:rowOff>5443</xdr:rowOff>
    </xdr:from>
    <xdr:to>
      <xdr:col>12</xdr:col>
      <xdr:colOff>560294</xdr:colOff>
      <xdr:row>57</xdr:row>
      <xdr:rowOff>81643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43</xdr:row>
      <xdr:rowOff>5443</xdr:rowOff>
    </xdr:from>
    <xdr:to>
      <xdr:col>6</xdr:col>
      <xdr:colOff>0</xdr:colOff>
      <xdr:row>57</xdr:row>
      <xdr:rowOff>81643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14</xdr:row>
      <xdr:rowOff>64995</xdr:rowOff>
    </xdr:from>
    <xdr:to>
      <xdr:col>12</xdr:col>
      <xdr:colOff>582706</xdr:colOff>
      <xdr:row>28</xdr:row>
      <xdr:rowOff>141195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0</xdr:colOff>
      <xdr:row>14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72000" y="0"/>
              <a:ext cx="4572000" cy="2609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5</xdr:col>
      <xdr:colOff>742950</xdr:colOff>
      <xdr:row>57</xdr:row>
      <xdr:rowOff>73959</xdr:rowOff>
    </xdr:from>
    <xdr:to>
      <xdr:col>11</xdr:col>
      <xdr:colOff>742950</xdr:colOff>
      <xdr:row>71</xdr:row>
      <xdr:rowOff>150159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57</xdr:row>
      <xdr:rowOff>73959</xdr:rowOff>
    </xdr:from>
    <xdr:to>
      <xdr:col>6</xdr:col>
      <xdr:colOff>0</xdr:colOff>
      <xdr:row>71</xdr:row>
      <xdr:rowOff>150159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</xdr:colOff>
      <xdr:row>71</xdr:row>
      <xdr:rowOff>114861</xdr:rowOff>
    </xdr:from>
    <xdr:to>
      <xdr:col>13</xdr:col>
      <xdr:colOff>739589</xdr:colOff>
      <xdr:row>86</xdr:row>
      <xdr:rowOff>179295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71</xdr:row>
      <xdr:rowOff>105335</xdr:rowOff>
    </xdr:from>
    <xdr:to>
      <xdr:col>6</xdr:col>
      <xdr:colOff>750793</xdr:colOff>
      <xdr:row>86</xdr:row>
      <xdr:rowOff>156882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86</xdr:row>
      <xdr:rowOff>1</xdr:rowOff>
    </xdr:from>
    <xdr:to>
      <xdr:col>6</xdr:col>
      <xdr:colOff>0</xdr:colOff>
      <xdr:row>100</xdr:row>
      <xdr:rowOff>76201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708774</xdr:colOff>
      <xdr:row>86</xdr:row>
      <xdr:rowOff>67237</xdr:rowOff>
    </xdr:from>
    <xdr:to>
      <xdr:col>11</xdr:col>
      <xdr:colOff>708774</xdr:colOff>
      <xdr:row>100</xdr:row>
      <xdr:rowOff>143437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11</xdr:col>
      <xdr:colOff>693715</xdr:colOff>
      <xdr:row>86</xdr:row>
      <xdr:rowOff>67235</xdr:rowOff>
    </xdr:from>
    <xdr:to>
      <xdr:col>17</xdr:col>
      <xdr:colOff>693715</xdr:colOff>
      <xdr:row>100</xdr:row>
      <xdr:rowOff>143435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3" name="Gráfico 22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4572000" cy="2609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2" name="Gráfico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47625</xdr:rowOff>
    </xdr:from>
    <xdr:to>
      <xdr:col>6</xdr:col>
      <xdr:colOff>0</xdr:colOff>
      <xdr:row>28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28</xdr:row>
      <xdr:rowOff>104775</xdr:rowOff>
    </xdr:from>
    <xdr:to>
      <xdr:col>6</xdr:col>
      <xdr:colOff>19051</xdr:colOff>
      <xdr:row>42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0</xdr:rowOff>
    </xdr:from>
    <xdr:to>
      <xdr:col>6</xdr:col>
      <xdr:colOff>0</xdr:colOff>
      <xdr:row>57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</xdr:colOff>
      <xdr:row>42</xdr:row>
      <xdr:rowOff>180975</xdr:rowOff>
    </xdr:from>
    <xdr:to>
      <xdr:col>12</xdr:col>
      <xdr:colOff>1</xdr:colOff>
      <xdr:row>57</xdr:row>
      <xdr:rowOff>66675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752475</xdr:colOff>
      <xdr:row>71</xdr:row>
      <xdr:rowOff>123825</xdr:rowOff>
    </xdr:from>
    <xdr:to>
      <xdr:col>11</xdr:col>
      <xdr:colOff>752475</xdr:colOff>
      <xdr:row>86</xdr:row>
      <xdr:rowOff>9525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71</xdr:row>
      <xdr:rowOff>133350</xdr:rowOff>
    </xdr:from>
    <xdr:to>
      <xdr:col>6</xdr:col>
      <xdr:colOff>9525</xdr:colOff>
      <xdr:row>86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0</xdr:colOff>
      <xdr:row>14</xdr:row>
      <xdr:rowOff>76200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14</xdr:row>
      <xdr:rowOff>47625</xdr:rowOff>
    </xdr:from>
    <xdr:to>
      <xdr:col>12</xdr:col>
      <xdr:colOff>0</xdr:colOff>
      <xdr:row>28</xdr:row>
      <xdr:rowOff>123825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28</xdr:row>
      <xdr:rowOff>104775</xdr:rowOff>
    </xdr:from>
    <xdr:to>
      <xdr:col>12</xdr:col>
      <xdr:colOff>0</xdr:colOff>
      <xdr:row>42</xdr:row>
      <xdr:rowOff>180975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752475</xdr:colOff>
      <xdr:row>57</xdr:row>
      <xdr:rowOff>66675</xdr:rowOff>
    </xdr:from>
    <xdr:to>
      <xdr:col>11</xdr:col>
      <xdr:colOff>752475</xdr:colOff>
      <xdr:row>71</xdr:row>
      <xdr:rowOff>142875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57</xdr:row>
      <xdr:rowOff>66675</xdr:rowOff>
    </xdr:from>
    <xdr:to>
      <xdr:col>6</xdr:col>
      <xdr:colOff>0</xdr:colOff>
      <xdr:row>71</xdr:row>
      <xdr:rowOff>142875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100</xdr:row>
      <xdr:rowOff>66675</xdr:rowOff>
    </xdr:from>
    <xdr:to>
      <xdr:col>6</xdr:col>
      <xdr:colOff>0</xdr:colOff>
      <xdr:row>114</xdr:row>
      <xdr:rowOff>142875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86</xdr:row>
      <xdr:rowOff>9525</xdr:rowOff>
    </xdr:from>
    <xdr:to>
      <xdr:col>6</xdr:col>
      <xdr:colOff>0</xdr:colOff>
      <xdr:row>100</xdr:row>
      <xdr:rowOff>85725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0</xdr:colOff>
      <xdr:row>86</xdr:row>
      <xdr:rowOff>0</xdr:rowOff>
    </xdr:from>
    <xdr:to>
      <xdr:col>12</xdr:col>
      <xdr:colOff>0</xdr:colOff>
      <xdr:row>100</xdr:row>
      <xdr:rowOff>76200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0</xdr:colOff>
      <xdr:row>100</xdr:row>
      <xdr:rowOff>76200</xdr:rowOff>
    </xdr:from>
    <xdr:to>
      <xdr:col>12</xdr:col>
      <xdr:colOff>0</xdr:colOff>
      <xdr:row>114</xdr:row>
      <xdr:rowOff>152400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7</xdr:col>
      <xdr:colOff>666750</xdr:colOff>
      <xdr:row>16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188117</xdr:rowOff>
    </xdr:from>
    <xdr:to>
      <xdr:col>8</xdr:col>
      <xdr:colOff>285749</xdr:colOff>
      <xdr:row>32</xdr:row>
      <xdr:rowOff>119062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678657</xdr:colOff>
      <xdr:row>0</xdr:row>
      <xdr:rowOff>0</xdr:rowOff>
    </xdr:from>
    <xdr:to>
      <xdr:col>15</xdr:col>
      <xdr:colOff>607219</xdr:colOff>
      <xdr:row>16</xdr:row>
      <xdr:rowOff>23812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271463</xdr:colOff>
      <xdr:row>16</xdr:row>
      <xdr:rowOff>11906</xdr:rowOff>
    </xdr:from>
    <xdr:to>
      <xdr:col>16</xdr:col>
      <xdr:colOff>511970</xdr:colOff>
      <xdr:row>32</xdr:row>
      <xdr:rowOff>178594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32</xdr:row>
      <xdr:rowOff>123825</xdr:rowOff>
    </xdr:from>
    <xdr:to>
      <xdr:col>8</xdr:col>
      <xdr:colOff>297656</xdr:colOff>
      <xdr:row>48</xdr:row>
      <xdr:rowOff>107156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297656</xdr:colOff>
      <xdr:row>32</xdr:row>
      <xdr:rowOff>123824</xdr:rowOff>
    </xdr:from>
    <xdr:to>
      <xdr:col>17</xdr:col>
      <xdr:colOff>190500</xdr:colOff>
      <xdr:row>48</xdr:row>
      <xdr:rowOff>11905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45</xdr:row>
      <xdr:rowOff>80962</xdr:rowOff>
    </xdr:from>
    <xdr:to>
      <xdr:col>7</xdr:col>
      <xdr:colOff>761999</xdr:colOff>
      <xdr:row>59</xdr:row>
      <xdr:rowOff>157162</xdr:rowOff>
    </xdr:to>
    <xdr:graphicFrame macro="">
      <xdr:nvGraphicFramePr>
        <xdr:cNvPr id="13" name="Gráfico 12" title="Cotutelas por Programa de Doctorado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11907</xdr:colOff>
      <xdr:row>45</xdr:row>
      <xdr:rowOff>80962</xdr:rowOff>
    </xdr:from>
    <xdr:to>
      <xdr:col>16</xdr:col>
      <xdr:colOff>35719</xdr:colOff>
      <xdr:row>59</xdr:row>
      <xdr:rowOff>157162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</xdr:colOff>
      <xdr:row>59</xdr:row>
      <xdr:rowOff>169068</xdr:rowOff>
    </xdr:from>
    <xdr:to>
      <xdr:col>8</xdr:col>
      <xdr:colOff>142875</xdr:colOff>
      <xdr:row>74</xdr:row>
      <xdr:rowOff>190499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23812</xdr:colOff>
      <xdr:row>59</xdr:row>
      <xdr:rowOff>166688</xdr:rowOff>
    </xdr:from>
    <xdr:to>
      <xdr:col>16</xdr:col>
      <xdr:colOff>33337</xdr:colOff>
      <xdr:row>74</xdr:row>
      <xdr:rowOff>52388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595312</xdr:colOff>
      <xdr:row>74</xdr:row>
      <xdr:rowOff>185738</xdr:rowOff>
    </xdr:from>
    <xdr:to>
      <xdr:col>15</xdr:col>
      <xdr:colOff>488156</xdr:colOff>
      <xdr:row>89</xdr:row>
      <xdr:rowOff>154782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74</xdr:row>
      <xdr:rowOff>185737</xdr:rowOff>
    </xdr:from>
    <xdr:to>
      <xdr:col>7</xdr:col>
      <xdr:colOff>583406</xdr:colOff>
      <xdr:row>89</xdr:row>
      <xdr:rowOff>71437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219075</xdr:colOff>
      <xdr:row>15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95250</xdr:rowOff>
    </xdr:from>
    <xdr:to>
      <xdr:col>6</xdr:col>
      <xdr:colOff>0</xdr:colOff>
      <xdr:row>29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15</xdr:row>
      <xdr:rowOff>104775</xdr:rowOff>
    </xdr:from>
    <xdr:to>
      <xdr:col>12</xdr:col>
      <xdr:colOff>0</xdr:colOff>
      <xdr:row>29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29</xdr:row>
      <xdr:rowOff>180974</xdr:rowOff>
    </xdr:from>
    <xdr:to>
      <xdr:col>6</xdr:col>
      <xdr:colOff>428625</xdr:colOff>
      <xdr:row>47</xdr:row>
      <xdr:rowOff>95249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428624</xdr:colOff>
      <xdr:row>30</xdr:row>
      <xdr:rowOff>0</xdr:rowOff>
    </xdr:from>
    <xdr:to>
      <xdr:col>13</xdr:col>
      <xdr:colOff>304800</xdr:colOff>
      <xdr:row>45</xdr:row>
      <xdr:rowOff>28575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228600</xdr:colOff>
      <xdr:row>0</xdr:row>
      <xdr:rowOff>0</xdr:rowOff>
    </xdr:from>
    <xdr:to>
      <xdr:col>13</xdr:col>
      <xdr:colOff>381000</xdr:colOff>
      <xdr:row>15</xdr:row>
      <xdr:rowOff>114300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10</xdr:col>
      <xdr:colOff>276225</xdr:colOff>
      <xdr:row>18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247656</xdr:colOff>
      <xdr:row>0</xdr:row>
      <xdr:rowOff>0</xdr:rowOff>
    </xdr:from>
    <xdr:to>
      <xdr:col>20</xdr:col>
      <xdr:colOff>438150</xdr:colOff>
      <xdr:row>18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18</xdr:row>
      <xdr:rowOff>152400</xdr:rowOff>
    </xdr:from>
    <xdr:to>
      <xdr:col>7</xdr:col>
      <xdr:colOff>695324</xdr:colOff>
      <xdr:row>36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704850</xdr:colOff>
      <xdr:row>18</xdr:row>
      <xdr:rowOff>142875</xdr:rowOff>
    </xdr:from>
    <xdr:to>
      <xdr:col>15</xdr:col>
      <xdr:colOff>647700</xdr:colOff>
      <xdr:row>36</xdr:row>
      <xdr:rowOff>66675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36</xdr:row>
      <xdr:rowOff>76199</xdr:rowOff>
    </xdr:from>
    <xdr:to>
      <xdr:col>7</xdr:col>
      <xdr:colOff>647699</xdr:colOff>
      <xdr:row>64</xdr:row>
      <xdr:rowOff>104775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657225</xdr:colOff>
      <xdr:row>36</xdr:row>
      <xdr:rowOff>76198</xdr:rowOff>
    </xdr:from>
    <xdr:to>
      <xdr:col>15</xdr:col>
      <xdr:colOff>533399</xdr:colOff>
      <xdr:row>64</xdr:row>
      <xdr:rowOff>190499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52</xdr:row>
      <xdr:rowOff>76200</xdr:rowOff>
    </xdr:from>
    <xdr:to>
      <xdr:col>7</xdr:col>
      <xdr:colOff>600075</xdr:colOff>
      <xdr:row>66</xdr:row>
      <xdr:rowOff>152400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561975</xdr:colOff>
      <xdr:row>56</xdr:row>
      <xdr:rowOff>123825</xdr:rowOff>
    </xdr:from>
    <xdr:to>
      <xdr:col>15</xdr:col>
      <xdr:colOff>381000</xdr:colOff>
      <xdr:row>71</xdr:row>
      <xdr:rowOff>142875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66</xdr:row>
      <xdr:rowOff>161925</xdr:rowOff>
    </xdr:from>
    <xdr:to>
      <xdr:col>7</xdr:col>
      <xdr:colOff>590550</xdr:colOff>
      <xdr:row>82</xdr:row>
      <xdr:rowOff>28575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352425</xdr:colOff>
      <xdr:row>71</xdr:row>
      <xdr:rowOff>152400</xdr:rowOff>
    </xdr:from>
    <xdr:to>
      <xdr:col>19</xdr:col>
      <xdr:colOff>704850</xdr:colOff>
      <xdr:row>86</xdr:row>
      <xdr:rowOff>38100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219075</xdr:colOff>
      <xdr:row>86</xdr:row>
      <xdr:rowOff>38099</xdr:rowOff>
    </xdr:from>
    <xdr:to>
      <xdr:col>14</xdr:col>
      <xdr:colOff>571500</xdr:colOff>
      <xdr:row>110</xdr:row>
      <xdr:rowOff>85725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86</xdr:row>
      <xdr:rowOff>28575</xdr:rowOff>
    </xdr:from>
    <xdr:to>
      <xdr:col>7</xdr:col>
      <xdr:colOff>228600</xdr:colOff>
      <xdr:row>110</xdr:row>
      <xdr:rowOff>38100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15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57150</xdr:colOff>
      <xdr:row>14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</xdr:row>
      <xdr:rowOff>85725</xdr:rowOff>
    </xdr:from>
    <xdr:to>
      <xdr:col>6</xdr:col>
      <xdr:colOff>0</xdr:colOff>
      <xdr:row>28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14</xdr:row>
      <xdr:rowOff>76200</xdr:rowOff>
    </xdr:from>
    <xdr:to>
      <xdr:col>12</xdr:col>
      <xdr:colOff>0</xdr:colOff>
      <xdr:row>28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28</xdr:row>
      <xdr:rowOff>190499</xdr:rowOff>
    </xdr:from>
    <xdr:to>
      <xdr:col>6</xdr:col>
      <xdr:colOff>152400</xdr:colOff>
      <xdr:row>44</xdr:row>
      <xdr:rowOff>66674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29</xdr:row>
      <xdr:rowOff>0</xdr:rowOff>
    </xdr:from>
    <xdr:to>
      <xdr:col>12</xdr:col>
      <xdr:colOff>0</xdr:colOff>
      <xdr:row>43</xdr:row>
      <xdr:rowOff>76200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66674</xdr:colOff>
      <xdr:row>0</xdr:row>
      <xdr:rowOff>0</xdr:rowOff>
    </xdr:from>
    <xdr:to>
      <xdr:col>18</xdr:col>
      <xdr:colOff>133349</xdr:colOff>
      <xdr:row>14</xdr:row>
      <xdr:rowOff>161925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752475</xdr:colOff>
      <xdr:row>14</xdr:row>
      <xdr:rowOff>76200</xdr:rowOff>
    </xdr:from>
    <xdr:to>
      <xdr:col>17</xdr:col>
      <xdr:colOff>752475</xdr:colOff>
      <xdr:row>28</xdr:row>
      <xdr:rowOff>152400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0</xdr:colOff>
      <xdr:row>29</xdr:row>
      <xdr:rowOff>0</xdr:rowOff>
    </xdr:from>
    <xdr:to>
      <xdr:col>18</xdr:col>
      <xdr:colOff>0</xdr:colOff>
      <xdr:row>43</xdr:row>
      <xdr:rowOff>76200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43</xdr:row>
      <xdr:rowOff>76200</xdr:rowOff>
    </xdr:from>
    <xdr:to>
      <xdr:col>6</xdr:col>
      <xdr:colOff>0</xdr:colOff>
      <xdr:row>57</xdr:row>
      <xdr:rowOff>152400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0</xdr:row>
      <xdr:rowOff>1</xdr:rowOff>
    </xdr:from>
    <xdr:to>
      <xdr:col>9</xdr:col>
      <xdr:colOff>142875</xdr:colOff>
      <xdr:row>17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</xdr:colOff>
      <xdr:row>0</xdr:row>
      <xdr:rowOff>0</xdr:rowOff>
    </xdr:from>
    <xdr:to>
      <xdr:col>18</xdr:col>
      <xdr:colOff>200025</xdr:colOff>
      <xdr:row>17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104775</xdr:rowOff>
    </xdr:from>
    <xdr:to>
      <xdr:col>7</xdr:col>
      <xdr:colOff>200024</xdr:colOff>
      <xdr:row>33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190501</xdr:colOff>
      <xdr:row>17</xdr:row>
      <xdr:rowOff>104775</xdr:rowOff>
    </xdr:from>
    <xdr:to>
      <xdr:col>14</xdr:col>
      <xdr:colOff>552450</xdr:colOff>
      <xdr:row>33</xdr:row>
      <xdr:rowOff>104775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66675</xdr:rowOff>
    </xdr:from>
    <xdr:to>
      <xdr:col>7</xdr:col>
      <xdr:colOff>238125</xdr:colOff>
      <xdr:row>59</xdr:row>
      <xdr:rowOff>85725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238125</xdr:colOff>
      <xdr:row>30</xdr:row>
      <xdr:rowOff>76200</xdr:rowOff>
    </xdr:from>
    <xdr:to>
      <xdr:col>14</xdr:col>
      <xdr:colOff>704850</xdr:colOff>
      <xdr:row>59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51</xdr:row>
      <xdr:rowOff>19049</xdr:rowOff>
    </xdr:from>
    <xdr:to>
      <xdr:col>9</xdr:col>
      <xdr:colOff>104775</xdr:colOff>
      <xdr:row>66</xdr:row>
      <xdr:rowOff>123824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104774</xdr:colOff>
      <xdr:row>51</xdr:row>
      <xdr:rowOff>9525</xdr:rowOff>
    </xdr:from>
    <xdr:to>
      <xdr:col>17</xdr:col>
      <xdr:colOff>180975</xdr:colOff>
      <xdr:row>65</xdr:row>
      <xdr:rowOff>85725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</xdr:colOff>
      <xdr:row>65</xdr:row>
      <xdr:rowOff>66675</xdr:rowOff>
    </xdr:from>
    <xdr:to>
      <xdr:col>8</xdr:col>
      <xdr:colOff>66675</xdr:colOff>
      <xdr:row>79</xdr:row>
      <xdr:rowOff>142875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85725</xdr:colOff>
      <xdr:row>65</xdr:row>
      <xdr:rowOff>57150</xdr:rowOff>
    </xdr:from>
    <xdr:to>
      <xdr:col>18</xdr:col>
      <xdr:colOff>704850</xdr:colOff>
      <xdr:row>79</xdr:row>
      <xdr:rowOff>133350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619125</xdr:colOff>
      <xdr:row>79</xdr:row>
      <xdr:rowOff>161923</xdr:rowOff>
    </xdr:from>
    <xdr:to>
      <xdr:col>14</xdr:col>
      <xdr:colOff>704850</xdr:colOff>
      <xdr:row>101</xdr:row>
      <xdr:rowOff>123824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79</xdr:row>
      <xdr:rowOff>152399</xdr:rowOff>
    </xdr:from>
    <xdr:to>
      <xdr:col>6</xdr:col>
      <xdr:colOff>647700</xdr:colOff>
      <xdr:row>101</xdr:row>
      <xdr:rowOff>47625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15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13</xdr:col>
      <xdr:colOff>704850</xdr:colOff>
      <xdr:row>14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647700</xdr:colOff>
      <xdr:row>0</xdr:row>
      <xdr:rowOff>0</xdr:rowOff>
    </xdr:from>
    <xdr:to>
      <xdr:col>19</xdr:col>
      <xdr:colOff>647700</xdr:colOff>
      <xdr:row>14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</xdr:row>
      <xdr:rowOff>47625</xdr:rowOff>
    </xdr:from>
    <xdr:to>
      <xdr:col>6</xdr:col>
      <xdr:colOff>0</xdr:colOff>
      <xdr:row>28</xdr:row>
      <xdr:rowOff>123825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14</xdr:row>
      <xdr:rowOff>38100</xdr:rowOff>
    </xdr:from>
    <xdr:to>
      <xdr:col>12</xdr:col>
      <xdr:colOff>9525</xdr:colOff>
      <xdr:row>28</xdr:row>
      <xdr:rowOff>114300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28575</xdr:colOff>
      <xdr:row>14</xdr:row>
      <xdr:rowOff>47625</xdr:rowOff>
    </xdr:from>
    <xdr:to>
      <xdr:col>18</xdr:col>
      <xdr:colOff>28575</xdr:colOff>
      <xdr:row>28</xdr:row>
      <xdr:rowOff>123825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28</xdr:row>
      <xdr:rowOff>133350</xdr:rowOff>
    </xdr:from>
    <xdr:to>
      <xdr:col>6</xdr:col>
      <xdr:colOff>0</xdr:colOff>
      <xdr:row>43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28</xdr:row>
      <xdr:rowOff>133350</xdr:rowOff>
    </xdr:from>
    <xdr:to>
      <xdr:col>12</xdr:col>
      <xdr:colOff>0</xdr:colOff>
      <xdr:row>43</xdr:row>
      <xdr:rowOff>19050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9524</xdr:colOff>
      <xdr:row>28</xdr:row>
      <xdr:rowOff>133350</xdr:rowOff>
    </xdr:from>
    <xdr:to>
      <xdr:col>18</xdr:col>
      <xdr:colOff>533400</xdr:colOff>
      <xdr:row>43</xdr:row>
      <xdr:rowOff>19050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 TORRES SALINAS" id="{3909D9C4-DAD1-4885-92F8-01619459E9F3}" userId="DANIEL TORRES SALINAS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02" dT="2023-01-25T12:49:20.15" personId="{3909D9C4-DAD1-4885-92F8-01619459E9F3}" id="{ADABC222-05E0-4C5B-A89F-CD18EEEA4142}">
    <text>Habria que cargarse esta fila pues lo hemos metido en "Teoria de la Aproximación" Programa de matemáticas</text>
  </threadedComment>
  <threadedComment ref="U125" dT="2023-01-26T13:41:34.10" personId="{3909D9C4-DAD1-4885-92F8-01619459E9F3}" id="{4DD934FB-6652-40B8-B380-AC84E62A2D22}">
    <text>Salen menos que en la suma parcial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1440"/>
  <sheetViews>
    <sheetView tabSelected="1" topLeftCell="F186" zoomScaleNormal="100" workbookViewId="0">
      <selection activeCell="O190" sqref="O190:T190"/>
    </sheetView>
  </sheetViews>
  <sheetFormatPr baseColWidth="10" defaultRowHeight="14.5"/>
  <cols>
    <col min="4" max="4" width="24.7265625" customWidth="1"/>
    <col min="7" max="7" width="8.453125" customWidth="1"/>
    <col min="8" max="8" width="6" customWidth="1"/>
    <col min="9" max="9" width="8" customWidth="1"/>
    <col min="10" max="10" width="15.81640625" customWidth="1"/>
    <col min="11" max="11" width="7.81640625" customWidth="1"/>
    <col min="12" max="14" width="15" customWidth="1"/>
    <col min="17" max="17" width="11.81640625" bestFit="1" customWidth="1"/>
    <col min="19" max="19" width="11.81640625" bestFit="1" customWidth="1"/>
    <col min="20" max="20" width="10.453125" customWidth="1"/>
    <col min="21" max="21" width="12" customWidth="1"/>
    <col min="22" max="22" width="12.26953125" customWidth="1"/>
    <col min="23" max="23" width="11.453125" style="20"/>
    <col min="24" max="24" width="12.453125" customWidth="1"/>
    <col min="25" max="25" width="12.26953125" customWidth="1"/>
    <col min="26" max="26" width="11.453125" style="20"/>
    <col min="29" max="29" width="12.453125" customWidth="1"/>
    <col min="30" max="30" width="12.26953125" customWidth="1"/>
    <col min="31" max="31" width="11.453125" style="20"/>
    <col min="35" max="35" width="12.7265625" customWidth="1"/>
    <col min="36" max="37" width="13.54296875" style="12" customWidth="1"/>
    <col min="38" max="38" width="12.1796875" customWidth="1"/>
    <col min="39" max="40" width="12.7265625" customWidth="1"/>
    <col min="41" max="42" width="13.54296875" style="12" customWidth="1"/>
    <col min="43" max="45" width="13.54296875" customWidth="1"/>
    <col min="46" max="46" width="13.54296875" style="12" customWidth="1"/>
    <col min="47" max="47" width="13" customWidth="1"/>
    <col min="48" max="51" width="12.453125" customWidth="1"/>
    <col min="52" max="52" width="12.26953125" customWidth="1"/>
    <col min="53" max="53" width="12.7265625" customWidth="1"/>
    <col min="54" max="56" width="12.453125" customWidth="1"/>
    <col min="57" max="57" width="12.26953125" customWidth="1"/>
    <col min="58" max="58" width="12.7265625" customWidth="1"/>
    <col min="59" max="59" width="24.54296875" customWidth="1"/>
    <col min="63" max="63" width="11.81640625" customWidth="1"/>
    <col min="64" max="64" width="12.1796875" style="39" customWidth="1"/>
    <col min="65" max="65" width="14.54296875" customWidth="1"/>
  </cols>
  <sheetData>
    <row r="1" spans="1:70" ht="15" customHeight="1">
      <c r="U1" s="62" t="s">
        <v>221</v>
      </c>
      <c r="V1" s="64" t="s">
        <v>222</v>
      </c>
      <c r="W1" s="66"/>
      <c r="X1" s="64" t="s">
        <v>223</v>
      </c>
      <c r="Y1" s="65"/>
      <c r="Z1" s="65"/>
      <c r="AA1" s="65"/>
      <c r="AB1" s="66"/>
      <c r="AC1" s="64" t="s">
        <v>238</v>
      </c>
      <c r="AD1" s="65"/>
      <c r="AE1" s="65"/>
      <c r="AF1" s="65"/>
      <c r="AG1" s="66"/>
      <c r="AH1" s="89" t="s">
        <v>228</v>
      </c>
      <c r="AI1" s="89" t="s">
        <v>243</v>
      </c>
      <c r="AJ1" s="62" t="s">
        <v>244</v>
      </c>
      <c r="AK1" s="62" t="s">
        <v>245</v>
      </c>
      <c r="AL1" s="57" t="s">
        <v>227</v>
      </c>
      <c r="AM1" s="57" t="s">
        <v>229</v>
      </c>
      <c r="AN1" s="57" t="s">
        <v>241</v>
      </c>
      <c r="AO1" s="62" t="s">
        <v>240</v>
      </c>
      <c r="AP1" s="62" t="s">
        <v>242</v>
      </c>
      <c r="AQ1" s="57" t="s">
        <v>230</v>
      </c>
      <c r="AR1" s="57" t="s">
        <v>233</v>
      </c>
      <c r="AS1" s="57" t="s">
        <v>232</v>
      </c>
      <c r="AT1" s="62" t="s">
        <v>215</v>
      </c>
      <c r="AU1" s="64" t="s">
        <v>213</v>
      </c>
      <c r="AV1" s="66"/>
      <c r="AW1" s="64" t="s">
        <v>218</v>
      </c>
      <c r="AX1" s="65"/>
      <c r="AY1" s="65"/>
      <c r="AZ1" s="65"/>
      <c r="BA1" s="66"/>
      <c r="BB1" s="64" t="s">
        <v>239</v>
      </c>
      <c r="BC1" s="65"/>
      <c r="BD1" s="65"/>
      <c r="BE1" s="65"/>
      <c r="BF1" s="66"/>
      <c r="BG1" s="57" t="s">
        <v>217</v>
      </c>
      <c r="BH1" s="59" t="s">
        <v>216</v>
      </c>
      <c r="BI1" s="60"/>
      <c r="BJ1" s="60"/>
      <c r="BK1" s="60"/>
      <c r="BL1" s="61"/>
      <c r="BM1" s="57" t="s">
        <v>214</v>
      </c>
      <c r="BN1" s="59" t="s">
        <v>219</v>
      </c>
      <c r="BO1" s="60"/>
      <c r="BP1" s="60"/>
      <c r="BQ1" s="60"/>
      <c r="BR1" s="61"/>
    </row>
    <row r="2" spans="1:70">
      <c r="M2" s="9"/>
      <c r="U2" s="63"/>
      <c r="V2" s="10" t="s">
        <v>208</v>
      </c>
      <c r="W2" s="10" t="s">
        <v>209</v>
      </c>
      <c r="X2" s="16">
        <v>2018</v>
      </c>
      <c r="Y2" s="10">
        <v>2019</v>
      </c>
      <c r="Z2" s="10">
        <v>2020</v>
      </c>
      <c r="AA2" s="10">
        <v>2021</v>
      </c>
      <c r="AB2" s="10">
        <v>2022</v>
      </c>
      <c r="AC2" s="16">
        <v>2018</v>
      </c>
      <c r="AD2" s="10">
        <v>2019</v>
      </c>
      <c r="AE2" s="10">
        <v>2020</v>
      </c>
      <c r="AF2" s="10">
        <v>2021</v>
      </c>
      <c r="AG2" s="10">
        <v>2022</v>
      </c>
      <c r="AH2" s="90"/>
      <c r="AI2" s="90"/>
      <c r="AJ2" s="63"/>
      <c r="AK2" s="63"/>
      <c r="AL2" s="58"/>
      <c r="AM2" s="58"/>
      <c r="AN2" s="58"/>
      <c r="AO2" s="63"/>
      <c r="AP2" s="63"/>
      <c r="AQ2" s="58"/>
      <c r="AR2" s="58"/>
      <c r="AS2" s="58"/>
      <c r="AT2" s="63"/>
      <c r="AU2" s="10" t="s">
        <v>208</v>
      </c>
      <c r="AV2" s="10" t="s">
        <v>209</v>
      </c>
      <c r="AW2" s="16">
        <v>2018</v>
      </c>
      <c r="AX2" s="10">
        <v>2019</v>
      </c>
      <c r="AY2" s="10">
        <v>2020</v>
      </c>
      <c r="AZ2" s="10">
        <v>2021</v>
      </c>
      <c r="BA2" s="10">
        <v>2022</v>
      </c>
      <c r="BB2" s="16">
        <v>2018</v>
      </c>
      <c r="BC2" s="10">
        <v>2019</v>
      </c>
      <c r="BD2" s="10">
        <v>2020</v>
      </c>
      <c r="BE2" s="10">
        <v>2021</v>
      </c>
      <c r="BF2" s="10">
        <v>2022</v>
      </c>
      <c r="BG2" s="58"/>
      <c r="BH2" s="16">
        <v>2018</v>
      </c>
      <c r="BI2" s="10">
        <v>2019</v>
      </c>
      <c r="BJ2" s="10">
        <v>2020</v>
      </c>
      <c r="BK2" s="10">
        <v>2021</v>
      </c>
      <c r="BL2" s="36">
        <v>2022</v>
      </c>
      <c r="BM2" s="58"/>
      <c r="BN2" s="16">
        <v>2018</v>
      </c>
      <c r="BO2" s="10">
        <v>2019</v>
      </c>
      <c r="BP2" s="10">
        <v>2020</v>
      </c>
      <c r="BQ2" s="10">
        <v>2021</v>
      </c>
      <c r="BR2" s="10">
        <v>2022</v>
      </c>
    </row>
    <row r="3" spans="1:70" ht="1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246</v>
      </c>
      <c r="F3" s="1" t="s">
        <v>210</v>
      </c>
      <c r="G3" s="1" t="s">
        <v>224</v>
      </c>
      <c r="H3" s="1" t="s">
        <v>227</v>
      </c>
      <c r="I3" s="1" t="s">
        <v>229</v>
      </c>
      <c r="J3" s="1" t="s">
        <v>680</v>
      </c>
      <c r="K3" s="1" t="s">
        <v>231</v>
      </c>
      <c r="L3" s="1" t="s">
        <v>232</v>
      </c>
      <c r="M3" s="1" t="s">
        <v>236</v>
      </c>
      <c r="N3" s="22" t="s">
        <v>237</v>
      </c>
      <c r="O3" s="70" t="s">
        <v>235</v>
      </c>
      <c r="P3" s="71"/>
      <c r="Q3" s="71"/>
      <c r="R3" s="71"/>
      <c r="S3" s="71"/>
      <c r="T3" s="72"/>
      <c r="U3" s="3">
        <f>COUNTIFS( B4:B1440,"Ciencias de la Salud")</f>
        <v>444</v>
      </c>
      <c r="V3" s="3">
        <f>COUNTIFS( B4:B1440,"Ciencias de la Salud",F4:F1440,"Hombre")</f>
        <v>188</v>
      </c>
      <c r="W3" s="3">
        <f>COUNTIFS( B4:B1440,"Ciencias de la Salud",F4:F1440,"Mujer")</f>
        <v>256</v>
      </c>
      <c r="X3" s="17">
        <f>COUNTIFS(   A4:A1440,"2018", B4:B1440,"Ciencias de la Salud")</f>
        <v>105</v>
      </c>
      <c r="Y3" s="3">
        <f>COUNTIFS(   A4:A1440,"2019", B4:B1440,"Ciencias de la Salud")</f>
        <v>99</v>
      </c>
      <c r="Z3" s="3">
        <f>COUNTIFS(   A4:A1440,"2020", B4:B1440,"Ciencias de la Salud")</f>
        <v>138</v>
      </c>
      <c r="AA3" s="3">
        <f>COUNTIFS(   A4:A1440,"2021", B4:B1440,"Ciencias de la Salud")</f>
        <v>102</v>
      </c>
      <c r="AB3" s="3">
        <f>COUNTIFS(   A4:A1440,"2022", B4:B1440,"Ciencias de la Salud")</f>
        <v>0</v>
      </c>
      <c r="AC3" s="17">
        <f>COUNTIFS(   N4:N1440,"2018", B4:B1440,"Ciencias de la Salud")</f>
        <v>32</v>
      </c>
      <c r="AD3" s="3">
        <f>COUNTIFS(   N4:N1440,"2019", B4:B1440,"Ciencias de la Salud")</f>
        <v>110</v>
      </c>
      <c r="AE3" s="3">
        <f>COUNTIFS(   N4:N1440,"2020", B4:B1440,"Ciencias de la Salud")</f>
        <v>106</v>
      </c>
      <c r="AF3" s="3">
        <f>COUNTIFS(   N4:N1440,"2021", B4:B1440,"Ciencias de la Salud")</f>
        <v>133</v>
      </c>
      <c r="AG3" s="3">
        <f>COUNTIFS(   N4:N1440,"2022", B4:B1440,"Ciencias de la Salud")</f>
        <v>63</v>
      </c>
      <c r="AH3" s="3">
        <f>COUNTIFS( B4:B1440,"Ciencias de la Salud",G4:G1440,"Sí")</f>
        <v>9</v>
      </c>
      <c r="AI3" s="3">
        <f>COUNTIFS( B4:B1440,"Ciencias de la Salud",G4:G1440,"No")</f>
        <v>435</v>
      </c>
      <c r="AJ3" s="3">
        <f>SUMIFS(E4:E1440,B4:B1440,"Ciencias de la Salud",G4:G1440,"Sí")</f>
        <v>94</v>
      </c>
      <c r="AK3" s="3">
        <f>SUMIFS(E4:E1440,B4:B1440,"Ciencias de la Salud",G4:G1440,"No")</f>
        <v>3902</v>
      </c>
      <c r="AL3" s="3">
        <f>COUNTIFS( B4:B1440,"Ciencias de la Salud",H4:H1440,"Sí")</f>
        <v>396</v>
      </c>
      <c r="AM3" s="3">
        <f>COUNTIFS( B4:B1440,"Ciencias de la Salud",I4:I1440,"Sí")</f>
        <v>198</v>
      </c>
      <c r="AN3" s="3">
        <f>COUNTIFS( B4:B1440,"Ciencias de la Salud",I4:I1440,"No")</f>
        <v>246</v>
      </c>
      <c r="AO3" s="3">
        <f>SUMIFS(E4:E1440,B4:B1440,"Ciencias de la Salud",I4:I1440,"Sí")</f>
        <v>2316</v>
      </c>
      <c r="AP3" s="3">
        <f>SUMIFS(E4:E1440,B4:B1440,"Ciencias de la Salud",I4:I1440,"No")</f>
        <v>1680</v>
      </c>
      <c r="AQ3" s="3">
        <f>COUNTIFS( B4:B1440,"Ciencias de la Salud",J4:J1440,"Sí")</f>
        <v>444</v>
      </c>
      <c r="AR3" s="3">
        <f>COUNTIFS( B4:B1440,"Ciencias de la Salud",K4:K1440,"Sí")</f>
        <v>157</v>
      </c>
      <c r="AS3" s="3">
        <f>COUNTIFS( B4:B1440,"Ciencias de la Salud",L4:L1440,"Sí")</f>
        <v>0</v>
      </c>
      <c r="AT3" s="3">
        <f>SUMIFS(E4:E1440,B4:B1440,"Ciencias de la Salud")</f>
        <v>3996</v>
      </c>
      <c r="AU3" s="3">
        <f>SUMIFS( E4:E1440, F4:F1440,"Hombre", B4:B1440,"Ciencias de la Salud")</f>
        <v>2073</v>
      </c>
      <c r="AV3" s="3">
        <f>SUMIFS( E4:E1440, F4:F1440,"Mujer", B4:B1440,"Ciencias de la Salud")</f>
        <v>1923</v>
      </c>
      <c r="AW3" s="17">
        <f>SUMIFS( E4:E1440, A4:A1440,"2018", B4:B1440,"Ciencias de la Salud")</f>
        <v>1278</v>
      </c>
      <c r="AX3" s="3">
        <f>SUMIFS( E4:E1440, A4:A1440,"2019", B4:B1440,"Ciencias de la Salud")</f>
        <v>762</v>
      </c>
      <c r="AY3" s="3">
        <f>SUMIFS( E4:E1440, A4:A1440,"2020", B4:B1440,"Ciencias de la Salud")</f>
        <v>1116</v>
      </c>
      <c r="AZ3" s="3">
        <f>SUMIFS( E4:E1440, A4:A1440,"2021", B4:B1440,"Ciencias de la Salud")</f>
        <v>840</v>
      </c>
      <c r="BA3" s="3">
        <f>SUMIFS( E4:E1440, A4:A1440,"2022", B4:B1440,"Ciencias de la Salud")</f>
        <v>0</v>
      </c>
      <c r="BB3" s="17">
        <f>SUMIFS( E4:E1440, N4:N1440,"2018", B4:B1440,"Ciencias de la Salud")</f>
        <v>418</v>
      </c>
      <c r="BC3" s="3">
        <f>SUMIFS( E4:E1440, N4:N1440,"2019", B4:B1440,"Ciencias de la Salud")</f>
        <v>1204</v>
      </c>
      <c r="BD3" s="3">
        <f>SUMIFS( E4:E1440, N4:N1440,"2020", B4:B1440,"Ciencias de la Salud")</f>
        <v>859</v>
      </c>
      <c r="BE3" s="3">
        <f>SUMIFS( E4:E1440, N4:N1440,"2021", B4:B1440,"Ciencias de la Salud")</f>
        <v>922</v>
      </c>
      <c r="BF3" s="3">
        <f>SUMIFS( E4:E1440, N4:N1440,"2022", B4:B1440,"Ciencias de la Salud")</f>
        <v>593</v>
      </c>
      <c r="BG3" s="11">
        <f>AVERAGEIFS(E4:E1440,B4:B1440,"Ciencias de la Salud")</f>
        <v>10.090909090909092</v>
      </c>
      <c r="BH3" s="11">
        <f>AVERAGEIFS( E4:E1440, A4:A1440,"2018", B4:B1440,"Ciencias de la Salud")</f>
        <v>13.891304347826088</v>
      </c>
      <c r="BI3" s="11">
        <f>AVERAGEIFS( E4:E1440, A4:A1440,"2019", B4:B1440,"Ciencias de la Salud")</f>
        <v>8.8604651162790695</v>
      </c>
      <c r="BJ3" s="11">
        <f>AVERAGEIFS( E4:E1440, A4:A1440,"2020", B4:B1440,"Ciencias de la Salud")</f>
        <v>9</v>
      </c>
      <c r="BK3" s="11">
        <f>AVERAGEIFS( E4:E1440, A4:A1440,"2021", B4:B1440,"Ciencias de la Salud")</f>
        <v>8.9361702127659566</v>
      </c>
      <c r="BL3" s="37" t="e">
        <f>AVERAGEIFS( E4:E1440, A4:A1440,"2022", B4:B1440,"Ciencias de la Salud")</f>
        <v>#DIV/0!</v>
      </c>
      <c r="BM3" s="11">
        <f>AVERAGE(AT4,AT13,AT17,AT22,AT31,AT35)</f>
        <v>666</v>
      </c>
      <c r="BN3" s="11">
        <f>AVERAGE(AW4,AW13,AW17,AW22,AW31,AW35)</f>
        <v>213</v>
      </c>
      <c r="BO3" s="11">
        <f>AVERAGE(AX4,AX13,AX17,AX22,AX31,AX35)</f>
        <v>127</v>
      </c>
      <c r="BP3" s="11">
        <f>AVERAGE(AY4,AY13,AY17,AY22,AY31,AY35)</f>
        <v>186</v>
      </c>
      <c r="BQ3" s="11">
        <f>AVERAGE(AZ4,AZ13,AZ17,AZ22,AZ31,AZ35)</f>
        <v>140</v>
      </c>
      <c r="BR3" s="11">
        <f>AVERAGE(BA4,BA13,BA17,BA22,BA31,BA35)</f>
        <v>0</v>
      </c>
    </row>
    <row r="4" spans="1:70" ht="15" customHeight="1">
      <c r="A4" s="24">
        <v>2018</v>
      </c>
      <c r="B4" s="24" t="s">
        <v>136</v>
      </c>
      <c r="C4" s="24" t="s">
        <v>160</v>
      </c>
      <c r="D4" s="24" t="s">
        <v>166</v>
      </c>
      <c r="E4" s="23">
        <v>15</v>
      </c>
      <c r="F4" s="24" t="s">
        <v>207</v>
      </c>
      <c r="G4" s="24" t="s">
        <v>225</v>
      </c>
      <c r="H4" s="23" t="s">
        <v>226</v>
      </c>
      <c r="I4" s="24" t="s">
        <v>226</v>
      </c>
      <c r="J4" s="23" t="s">
        <v>226</v>
      </c>
      <c r="K4" s="24" t="s">
        <v>226</v>
      </c>
      <c r="L4" s="23"/>
      <c r="M4" s="25">
        <v>43110</v>
      </c>
      <c r="N4" s="24">
        <v>2018</v>
      </c>
      <c r="O4" s="86" t="s">
        <v>43</v>
      </c>
      <c r="P4" s="87"/>
      <c r="Q4" s="87"/>
      <c r="R4" s="87"/>
      <c r="S4" s="87"/>
      <c r="T4" s="88"/>
      <c r="U4" s="4">
        <f>COUNTIFS(   C4:C1440,"Biomedicina")</f>
        <v>144</v>
      </c>
      <c r="V4" s="4">
        <f>COUNTIFS(   C4:C1440,"Biomedicina",F4:F1440,"Hombre")</f>
        <v>83</v>
      </c>
      <c r="W4" s="4">
        <f>COUNTIFS(   C4:C1440,"Biomedicina",F4:F1440,"Mujer")</f>
        <v>61</v>
      </c>
      <c r="X4" s="18">
        <f>COUNTIFS(   A4:A1440,"2018", C4:C1440,"Biomedicina")</f>
        <v>30</v>
      </c>
      <c r="Y4" s="4">
        <f>COUNTIFS(   A4:A1440,"2019", C4:C1440,"Biomedicina")</f>
        <v>31</v>
      </c>
      <c r="Z4" s="4">
        <f>COUNTIFS(   A4:A1440,"2020", C4:C1440,"Biomedicina")</f>
        <v>48</v>
      </c>
      <c r="AA4" s="4">
        <f>COUNTIFS(   A4:A1440,"2021", C4:C1440,"Biomedicina")</f>
        <v>35</v>
      </c>
      <c r="AB4" s="4">
        <f>COUNTIFS(   A4:A1440,"2022", C4:C1440,"Biomedicina")</f>
        <v>0</v>
      </c>
      <c r="AC4" s="18">
        <f>COUNTIFS(   N4:N1440,"2018", C4:C1440,"Biomedicina")</f>
        <v>8</v>
      </c>
      <c r="AD4" s="4">
        <f>COUNTIFS(   N4:N1440,"2019", C4:C1440,"Biomedicina")</f>
        <v>37</v>
      </c>
      <c r="AE4" s="4">
        <f>COUNTIFS(   N4:N1440,"2020", C4:C1440,"Biomedicina")</f>
        <v>31</v>
      </c>
      <c r="AF4" s="4">
        <f>COUNTIFS(   N4:N1440,"2021", C4:C1440,"Biomedicina")</f>
        <v>46</v>
      </c>
      <c r="AG4" s="4">
        <f>COUNTIFS(   N4:N1440,"2022", C4:C1440,"Biomedicina")</f>
        <v>22</v>
      </c>
      <c r="AH4" s="4">
        <f>COUNTIFS(   C4:C1440,"Biomedicina",G4:G1440,"Sí")</f>
        <v>2</v>
      </c>
      <c r="AI4" s="4">
        <f>COUNTIFS(   C4:C1440,"Biomedicina",G4:G1440,"No")</f>
        <v>142</v>
      </c>
      <c r="AJ4" s="4">
        <f>SUMIFS( E4:E1440, C4:C1440,"Biomedicina",G4:G1440,"Sí")</f>
        <v>41</v>
      </c>
      <c r="AK4" s="4">
        <f>SUMIFS( E4:E1440, C4:C1440,"Biomedicina",G4:G1440,"No")</f>
        <v>1546</v>
      </c>
      <c r="AL4" s="4">
        <f>COUNTIFS(   C4:C1440,"Biomedicina",H4:H1440,"Sí")</f>
        <v>130</v>
      </c>
      <c r="AM4" s="4">
        <f>COUNTIFS(   C4:C1440,"Biomedicina",I4:I1440,"Sí")</f>
        <v>80</v>
      </c>
      <c r="AN4" s="4">
        <f>COUNTIFS(   C4:C1440,"Biomedicina",I4:I1440,"No")</f>
        <v>64</v>
      </c>
      <c r="AO4" s="4">
        <f>SUMIFS( E4:E1440, C4:C1440,"Biomedicina",I4:I1440,"Sí")</f>
        <v>1086</v>
      </c>
      <c r="AP4" s="4">
        <f>SUMIFS( E4:E1440, C4:C1440,"Biomedicina",I4:I1440,"No")</f>
        <v>501</v>
      </c>
      <c r="AQ4" s="4">
        <f>COUNTIFS(   C4:C1440,"Biomedicina",J4:J1440,"Sí")</f>
        <v>144</v>
      </c>
      <c r="AR4" s="4">
        <f>COUNTIFS(   C4:C1440,"Biomedicina",K4:K1440,"Sí")</f>
        <v>51</v>
      </c>
      <c r="AS4" s="4">
        <f>COUNTIFS(   C4:C1440,"Biomedicina",L4:L1440,"Sí")</f>
        <v>0</v>
      </c>
      <c r="AT4" s="4">
        <f>SUMIFS( E4:E1440, C4:C1440,"Biomedicina")</f>
        <v>1587</v>
      </c>
      <c r="AU4" s="4">
        <f>SUMIFS( E4:E1440, F4:F1440,"Hombre", C4:C1440,"Biomedicina")</f>
        <v>1059</v>
      </c>
      <c r="AV4" s="4">
        <f>SUMIFS( E4:E1440, F4:F1440,"Mujer", C4:C1440,"Biomedicina")</f>
        <v>528</v>
      </c>
      <c r="AW4" s="18">
        <f>SUMIFS( E4:E1440, A4:A1440,"2018", C4:C1440,"Biomedicina")</f>
        <v>474</v>
      </c>
      <c r="AX4" s="4">
        <f>SUMIFS( E4:E1440, A4:A1440,"2019", C4:C1440,"Biomedicina")</f>
        <v>322</v>
      </c>
      <c r="AY4" s="4">
        <f>SUMIFS( E4:E1440, A4:A1440,"2020", C4:C1440,"Biomedicina")</f>
        <v>504</v>
      </c>
      <c r="AZ4" s="4">
        <f>SUMIFS( E4:E1440, A4:A1440,"2021", C4:C1440,"Biomedicina")</f>
        <v>287</v>
      </c>
      <c r="BA4" s="4">
        <f>SUMIFS( E4:E1440, A4:A1440,"2022", C4:C1440,"Biomedicina")</f>
        <v>0</v>
      </c>
      <c r="BB4" s="18">
        <f>SUMIFS( E4:E1440, N4:N1440,"2018", C4:C1440,"Biomedicina")</f>
        <v>168</v>
      </c>
      <c r="BC4" s="4">
        <f>SUMIFS( E4:E1440, N4:N1440,"2019", C4:C1440,"Biomedicina")</f>
        <v>484</v>
      </c>
      <c r="BD4" s="4">
        <f>SUMIFS( E4:E1440, N4:N1440,"2020", C4:C1440,"Biomedicina")</f>
        <v>335</v>
      </c>
      <c r="BE4" s="4">
        <f>SUMIFS( E4:E1440, N4:N1440,"2021", C4:C1440,"Biomedicina")</f>
        <v>394</v>
      </c>
      <c r="BF4" s="4">
        <f>SUMIFS( E4:E1440, N4:N1440,"2022", C4:C1440,"Biomedicina")</f>
        <v>206</v>
      </c>
      <c r="BG4" s="13">
        <f>AVERAGEIFS( E4:E1440, C4:C1440,"Biomedicina")</f>
        <v>12.114503816793894</v>
      </c>
      <c r="BH4" s="13">
        <v>0</v>
      </c>
      <c r="BI4" s="13">
        <f>AVERAGEIFS( E4:E1440, A4:A1440,"2019", C4:C1440,"Biomedicina")</f>
        <v>11.925925925925926</v>
      </c>
      <c r="BJ4" s="13">
        <f>AVERAGEIFS( E4:E1440, A4:A1440,"2020", C4:C1440,"Biomedicina")</f>
        <v>11.720930232558139</v>
      </c>
      <c r="BK4" s="13">
        <f>AVERAGEIFS( E4:E1440, A4:A1440,"2021", C4:C1440,"Biomedicina")</f>
        <v>8.96875</v>
      </c>
      <c r="BL4" s="37" t="e">
        <f>AVERAGEIFS( E4:E1440, A4:A1440,"2022", C4:C1440,"Biomedicina")</f>
        <v>#DIV/0!</v>
      </c>
      <c r="BM4" s="13">
        <f>AVERAGE(AT5:AT12)</f>
        <v>197.625</v>
      </c>
      <c r="BN4" s="13">
        <f>AVERAGE(AW5:AW12)</f>
        <v>58.5</v>
      </c>
      <c r="BO4" s="13">
        <f>AVERAGE(AX5:AX12)</f>
        <v>40.25</v>
      </c>
      <c r="BP4" s="13">
        <f>AVERAGE(AY5:AY12)</f>
        <v>63</v>
      </c>
      <c r="BQ4" s="13">
        <f>AVERAGE(AZ5:AZ12)</f>
        <v>35.875</v>
      </c>
      <c r="BR4" s="13">
        <f>AVERAGE(BA5:BA12)</f>
        <v>0</v>
      </c>
    </row>
    <row r="5" spans="1:70" ht="15" customHeight="1">
      <c r="A5" s="24">
        <v>2018</v>
      </c>
      <c r="B5" s="24" t="s">
        <v>78</v>
      </c>
      <c r="C5" s="27" t="s">
        <v>681</v>
      </c>
      <c r="D5" s="24" t="s">
        <v>201</v>
      </c>
      <c r="E5" s="23">
        <v>6</v>
      </c>
      <c r="F5" s="24" t="s">
        <v>207</v>
      </c>
      <c r="G5" s="24" t="s">
        <v>225</v>
      </c>
      <c r="H5" s="23" t="s">
        <v>226</v>
      </c>
      <c r="I5" s="24" t="s">
        <v>226</v>
      </c>
      <c r="J5" s="23" t="s">
        <v>226</v>
      </c>
      <c r="K5" s="24" t="s">
        <v>226</v>
      </c>
      <c r="L5" s="23"/>
      <c r="M5" s="25">
        <v>43202</v>
      </c>
      <c r="N5" s="24">
        <v>2018</v>
      </c>
      <c r="O5" s="67" t="s">
        <v>7</v>
      </c>
      <c r="P5" s="68"/>
      <c r="Q5" s="68"/>
      <c r="R5" s="68"/>
      <c r="S5" s="68"/>
      <c r="T5" s="69"/>
      <c r="U5" s="5">
        <f>COUNTIFS(   D4:D1440,"Actividad Física y Deporte")</f>
        <v>41</v>
      </c>
      <c r="V5" s="5">
        <f>COUNTIFS(   D4:D1440,"Actividad Física y Deporte",F4:F1440,"Hombre")</f>
        <v>26</v>
      </c>
      <c r="W5" s="5">
        <f>COUNTIFS(   D4:D1440,"Actividad Física y Deporte",F4:F1440,"Mujer")</f>
        <v>15</v>
      </c>
      <c r="X5" s="19">
        <f>COUNTIFS(   A4:A1440,"2018", D4:D1440,"Actividad Física y Deporte")</f>
        <v>8</v>
      </c>
      <c r="Y5" s="5">
        <f>COUNTIFS(   A4:A1440,"2019", D4:D1440,"Actividad Física y Deporte")</f>
        <v>8</v>
      </c>
      <c r="Z5" s="5">
        <f>COUNTIFS(   A4:A1440,"2020", D4:D1440,"Actividad Física y Deporte")</f>
        <v>15</v>
      </c>
      <c r="AA5" s="5">
        <f>COUNTIFS(   A4:A1440,"2021", D4:D1440,"Actividad Física y Deporte")</f>
        <v>10</v>
      </c>
      <c r="AB5" s="5">
        <f>COUNTIFS(  A4:A1440,"2022", D4:D1440,"Actividad Física y Deporte")</f>
        <v>0</v>
      </c>
      <c r="AC5" s="19">
        <f>COUNTIFS(   N4:N1440,"2018", D4:D1440,"Actividad Física y Deporte")</f>
        <v>4</v>
      </c>
      <c r="AD5" s="5">
        <f>COUNTIFS(   N4:N1440,"2019", D4:D1440,"Actividad Física y Deporte")</f>
        <v>7</v>
      </c>
      <c r="AE5" s="5">
        <f>COUNTIFS(   N4:N1440,"2020", D4:D1440,"Actividad Física y Deporte")</f>
        <v>11</v>
      </c>
      <c r="AF5" s="5">
        <f>COUNTIFS(   N4:N1440,"2021", D4:D1440,"Actividad Física y Deporte")</f>
        <v>12</v>
      </c>
      <c r="AG5" s="5">
        <f>COUNTIFS(   N4:N1440,"2022", D4:D1440,"Actividad Física y Deporte")</f>
        <v>7</v>
      </c>
      <c r="AH5" s="5">
        <f>COUNTIFS(   D4:D1440,"Actividad Física y Deporte",G4:G1440,"Sí")</f>
        <v>1</v>
      </c>
      <c r="AI5" s="5">
        <f>COUNTIFS(   D4:D1440,"Actividad Física y Deporte",G4:G1440,"No")</f>
        <v>40</v>
      </c>
      <c r="AJ5" s="5">
        <f>SUMIFS( E4:E1440, D4:D1440,"Actividad Física y Deporte",G4:G1440,"Sí")</f>
        <v>20</v>
      </c>
      <c r="AK5" s="5">
        <f>SUMIFS( E4:E1440, D4:D1440,"Actividad Física y Deporte",G4:G1440,"No")</f>
        <v>848</v>
      </c>
      <c r="AL5" s="5">
        <f>COUNTIFS(   D4:D1440,"Actividad Física y Deporte",H4:H1440,"Sí")</f>
        <v>38</v>
      </c>
      <c r="AM5" s="5">
        <f>COUNTIFS(   D4:D1440,"Actividad Física y Deporte",I4:I1440,"Sí")</f>
        <v>29</v>
      </c>
      <c r="AN5" s="5">
        <f>COUNTIFS(   D4:D1440,"Actividad Física y Deporte",I4:I1440,"No")</f>
        <v>12</v>
      </c>
      <c r="AO5" s="5">
        <f>SUMIFS( E4:E1440, D4:D1440,"Actividad Física y Deporte",I4:I1440,"Sí")</f>
        <v>667</v>
      </c>
      <c r="AP5" s="5">
        <f>SUMIFS( E4:E1440, D4:D1440,"Actividad Física y Deporte",I4:I1440,"No")</f>
        <v>201</v>
      </c>
      <c r="AQ5" s="5">
        <f>COUNTIFS(   D4:D1440,"Actividad Física y Deporte",J4:J1440,"Sí")</f>
        <v>41</v>
      </c>
      <c r="AR5" s="5">
        <f>COUNTIFS(   D4:D1440,"Actividad Física y Deporte",K4:K1440,"Sí")</f>
        <v>13</v>
      </c>
      <c r="AS5" s="5">
        <f>COUNTIFS(   D4:D1440,"Actividad Física y Deporte",L4:L1440,"Sí")</f>
        <v>0</v>
      </c>
      <c r="AT5" s="5">
        <f>SUMIFS( E4:E1440, D4:D1440,"Actividad Física y Deporte")</f>
        <v>868</v>
      </c>
      <c r="AU5" s="5">
        <f>SUMIFS( E4:E1440, F4:F1440,"Hombre", D4:D1440,"Actividad Física y Deporte")</f>
        <v>644</v>
      </c>
      <c r="AV5" s="5">
        <f>SUMIFS( E4:E1440, F4:F1440,"Mujer", D4:D1440,"Actividad Física y Deporte")</f>
        <v>224</v>
      </c>
      <c r="AW5" s="19">
        <f>SUMIFS( E4:E1440, A4:A1440,"2018", D4:D1440,"Actividad Física y Deporte")</f>
        <v>326</v>
      </c>
      <c r="AX5" s="5">
        <f>SUMIFS( E4:E1440, A4:A1440,"2019", D4:D1440,"Actividad Física y Deporte")</f>
        <v>167</v>
      </c>
      <c r="AY5" s="5">
        <f>SUMIFS( E4:E1440, A4:A1440,"2020", D4:D1440,"Actividad Física y Deporte")</f>
        <v>274</v>
      </c>
      <c r="AZ5" s="5">
        <f>SUMIFS( E4:E1440, A4:A1440,"2021", D4:D1440,"Actividad Física y Deporte")</f>
        <v>101</v>
      </c>
      <c r="BA5" s="5">
        <f>SUMIFS( E4:E1440, A4:A1440,"2022", D4:D1440,"Actividad Física y Deporte")</f>
        <v>0</v>
      </c>
      <c r="BB5" s="19">
        <f>SUMIFS( E4:E1440, N4:N1440,"2018", D4:D1440,"Actividad Física y Deporte")</f>
        <v>148</v>
      </c>
      <c r="BC5" s="5">
        <f>SUMIFS( E4:E1440, N4:N1440,"2019", D4:D1440,"Actividad Física y Deporte")</f>
        <v>295</v>
      </c>
      <c r="BD5" s="5">
        <f>SUMIFS( E4:E1440, N4:N1440,"2020", D4:D1440,"Actividad Física y Deporte")</f>
        <v>198</v>
      </c>
      <c r="BE5" s="5">
        <f>SUMIFS( E4:E1440, N4:N1440,"2021", D4:D1440,"Actividad Física y Deporte")</f>
        <v>145</v>
      </c>
      <c r="BF5" s="5">
        <f>SUMIFS( E4:E1440, N4:N1440,"2022", D4:D1440,"Actividad Física y Deporte")</f>
        <v>82</v>
      </c>
      <c r="BG5" s="14">
        <f>AVERAGEIFS( E4:E1440, D4:D1440,"Actividad Física y Deporte")</f>
        <v>22.256410256410255</v>
      </c>
      <c r="BH5" s="14">
        <v>0</v>
      </c>
      <c r="BI5" s="14">
        <f>AVERAGEIFS( E4:E1440, A4:A1440,"2019", D4:D1440,"Actividad Física y Deporte")</f>
        <v>20.875</v>
      </c>
      <c r="BJ5" s="14">
        <f>AVERAGEIFS( E4:E1440, A4:A1440,"2020", D4:D1440,"Actividad Física y Deporte")</f>
        <v>19.571428571428573</v>
      </c>
      <c r="BK5" s="14">
        <f>AVERAGEIFS( E4:E1440, A4:A1440,"2021", D4:D1440,"Actividad Física y Deporte")</f>
        <v>11.222222222222221</v>
      </c>
      <c r="BL5" s="37" t="e">
        <f>AVERAGEIFS( E4:E1440, A4:A1440,"2022", D4:D1440,"Actividad Física y Deporte")</f>
        <v>#DIV/0!</v>
      </c>
      <c r="BM5" s="14">
        <v>19.428571428571427</v>
      </c>
      <c r="BN5" s="14">
        <v>0</v>
      </c>
      <c r="BO5" s="14">
        <v>1</v>
      </c>
      <c r="BP5" s="14">
        <v>20</v>
      </c>
      <c r="BQ5" s="14">
        <v>8</v>
      </c>
      <c r="BR5" s="14">
        <v>29</v>
      </c>
    </row>
    <row r="6" spans="1:70" ht="15" customHeight="1">
      <c r="A6" s="24">
        <v>2018</v>
      </c>
      <c r="B6" s="24" t="s">
        <v>78</v>
      </c>
      <c r="C6" s="24" t="s">
        <v>95</v>
      </c>
      <c r="D6" s="24" t="s">
        <v>96</v>
      </c>
      <c r="E6" s="23">
        <v>4</v>
      </c>
      <c r="F6" s="24" t="s">
        <v>207</v>
      </c>
      <c r="G6" s="24" t="s">
        <v>225</v>
      </c>
      <c r="H6" s="23" t="s">
        <v>226</v>
      </c>
      <c r="I6" s="24" t="s">
        <v>225</v>
      </c>
      <c r="J6" s="23" t="s">
        <v>226</v>
      </c>
      <c r="K6" s="24" t="s">
        <v>226</v>
      </c>
      <c r="L6" s="23"/>
      <c r="M6" s="25">
        <v>43202</v>
      </c>
      <c r="N6" s="24">
        <v>2018</v>
      </c>
      <c r="O6" s="67" t="s">
        <v>9</v>
      </c>
      <c r="P6" s="68"/>
      <c r="Q6" s="68"/>
      <c r="R6" s="68"/>
      <c r="S6" s="68"/>
      <c r="T6" s="69"/>
      <c r="U6" s="5">
        <f>COUNTIFS(   D4:D1440,"Biomedicina Regenerativa")</f>
        <v>12</v>
      </c>
      <c r="V6" s="5">
        <f>COUNTIFS(   D4:D1440,"Biomedicina Regenerativa",F4:F1440,"Hombre")</f>
        <v>5</v>
      </c>
      <c r="W6" s="5">
        <f>COUNTIFS(   D4:D1440,"Biomedicina Regenerativa",F4:F1440,"Mujer")</f>
        <v>7</v>
      </c>
      <c r="X6" s="19">
        <f>COUNTIFS(   A4:A1440,"2018", D4:D1440,"Biomedicina Regenerativa")</f>
        <v>2</v>
      </c>
      <c r="Y6" s="5">
        <f>COUNTIFS(   A4:A1440,"2019", D4:D1440,"Biomedicina Regenerativa")</f>
        <v>2</v>
      </c>
      <c r="Z6" s="5">
        <f>COUNTIFS(   A4:A1440,"2020", D4:D1440,"Biomedicina Regenerativa")</f>
        <v>2</v>
      </c>
      <c r="AA6" s="5">
        <f>COUNTIFS(   A4:A1440,"2021", D4:D1440,"Biomedicina Regenerativa")</f>
        <v>6</v>
      </c>
      <c r="AB6" s="5">
        <f>COUNTIFS(  A4:A1440,"2022", D4:D1440,"Biomedicina Regenerativa")</f>
        <v>0</v>
      </c>
      <c r="AC6" s="19">
        <f>COUNTIFS(   N4:N1440,"2018", D4:D1440,"Biomedicina Regenerativa")</f>
        <v>0</v>
      </c>
      <c r="AD6" s="5">
        <f>COUNTIFS(   N4:N1440,"2019", D4:D1440,"Biomedicina Regenerativa")</f>
        <v>4</v>
      </c>
      <c r="AE6" s="5">
        <f>COUNTIFS(   N4:N1440,"2020", D4:D1440,"Biomedicina Regenerativa")</f>
        <v>0</v>
      </c>
      <c r="AF6" s="5">
        <f>COUNTIFS(   N4:N1440,"2021", D4:D1440,"Biomedicina Regenerativa")</f>
        <v>5</v>
      </c>
      <c r="AG6" s="5">
        <f>COUNTIFS(   N4:N1440,"2022", D4:D1440,"Biomedicina Regenerativa")</f>
        <v>3</v>
      </c>
      <c r="AH6" s="5">
        <f>COUNTIFS(   D4:D1440,"Biomedicina Regenerativa",G4:G1440,"Sí")</f>
        <v>0</v>
      </c>
      <c r="AI6" s="5">
        <f>COUNTIFS(   D4:D1440,"Biomedicina Regenerativa",G4:G1440,"No")</f>
        <v>12</v>
      </c>
      <c r="AJ6" s="5">
        <f>SUMIFS( E4:E1440, D4:D1440,"Biomedicina Regenerativa",G4:G1440,"Sí")</f>
        <v>0</v>
      </c>
      <c r="AK6" s="5">
        <f>SUMIFS( E4:E1440, D4:D1440,"Biomedicina Regenerativa",G4:G1440,"No")</f>
        <v>82</v>
      </c>
      <c r="AL6" s="5">
        <f>COUNTIFS(   D4:D1440,"Biomedicina Regenerativa",H4:H1440,"Sí")</f>
        <v>10</v>
      </c>
      <c r="AM6" s="5">
        <f>COUNTIFS(   D4:D1440,"Biomedicina Regenerativa",I4:I1440,"Sí")</f>
        <v>2</v>
      </c>
      <c r="AN6" s="5">
        <f>COUNTIFS(   D4:D1440,"Biomedicina Regenerativa",I4:I1440,"No")</f>
        <v>10</v>
      </c>
      <c r="AO6" s="5">
        <f>SUMIFS( E4:E1440, D4:D1440,"Biomedicina Regenerativa",I4:I1440,"Sí")</f>
        <v>9</v>
      </c>
      <c r="AP6" s="5">
        <f>SUMIFS( E4:E1440, D4:D1440,"Biomedicina Regenerativa",I4:I1440,"No")</f>
        <v>73</v>
      </c>
      <c r="AQ6" s="5">
        <f>COUNTIFS(   D4:D1440,"Biomedicina Regenerativa",J4:J1440,"Sí")</f>
        <v>12</v>
      </c>
      <c r="AR6" s="5">
        <f>COUNTIFS(   D4:D1440,"Biomedicina Regenerativa",K4:K1440,"Sí")</f>
        <v>4</v>
      </c>
      <c r="AS6" s="5">
        <f>COUNTIFS(   D4:D1440,"Biomedicina Regenerativa",L4:L1440,"Sí")</f>
        <v>0</v>
      </c>
      <c r="AT6" s="5">
        <f>SUMIFS( E4:E1440, D4:D1440,"Biomedicina Regenerativa")</f>
        <v>82</v>
      </c>
      <c r="AU6" s="5">
        <f>SUMIFS( E4:E1440, F4:F1440,"Hombre", D4:D1440,"Biomedicina Regenerativa")</f>
        <v>35</v>
      </c>
      <c r="AV6" s="5">
        <f>SUMIFS( E4:E1440, F4:F1440,"Mujer", D4:D1440,"Biomedicina Regenerativa")</f>
        <v>47</v>
      </c>
      <c r="AW6" s="19">
        <f>SUMIFS( E4:E1440, A4:A1440,"2018", D4:D1440,"Biomedicina Regenerativa")</f>
        <v>18</v>
      </c>
      <c r="AX6" s="5">
        <f>SUMIFS( E4:E1440, A4:A1440,"2019", D4:D1440,"Biomedicina Regenerativa")</f>
        <v>9</v>
      </c>
      <c r="AY6" s="5">
        <f>SUMIFS( E4:E1440, A4:A1440,"2020", D4:D1440,"Biomedicina Regenerativa")</f>
        <v>23</v>
      </c>
      <c r="AZ6" s="5">
        <f>SUMIFS( E4:E1440, A4:A1440,"2021", D4:D1440,"Biomedicina Regenerativa")</f>
        <v>32</v>
      </c>
      <c r="BA6" s="5">
        <f>SUMIFS( E4:E1440, A4:A1440,"2022", D4:D1440,"Biomedicina Regenerativa")</f>
        <v>0</v>
      </c>
      <c r="BB6" s="19">
        <f>SUMIFS( E4:E1440, N4:N1440,"2018", D4:D1440,"Biomedicina Regenerativa")</f>
        <v>0</v>
      </c>
      <c r="BC6" s="5">
        <f>SUMIFS( E4:E1440, N4:N1440,"2019", D4:D1440,"Biomedicina Regenerativa")</f>
        <v>27</v>
      </c>
      <c r="BD6" s="5">
        <f>SUMIFS( E4:E1440, N4:N1440,"2020", D4:D1440,"Biomedicina Regenerativa")</f>
        <v>0</v>
      </c>
      <c r="BE6" s="5">
        <f>SUMIFS( E4:E1440, N4:N1440,"2021", D4:D1440,"Biomedicina Regenerativa")</f>
        <v>48</v>
      </c>
      <c r="BF6" s="5">
        <f>SUMIFS( E4:E1440, N4:N1440,"2022", D4:D1440,"Biomedicina Regenerativa")</f>
        <v>7</v>
      </c>
      <c r="BG6" s="14">
        <f>AVERAGEIFS( E4:E1440, D4:D1440,"Biomedicina Regenerativa")</f>
        <v>8.1999999999999993</v>
      </c>
      <c r="BH6" s="14">
        <v>0</v>
      </c>
      <c r="BI6" s="14">
        <f>AVERAGEIFS( E4:E1440, A4:A1440,"2019", D4:D1440,"Biomedicina Regenerativa")</f>
        <v>9</v>
      </c>
      <c r="BJ6" s="14">
        <f>AVERAGEIFS( E4:E1440, A4:A1440,"2020", D4:D1440,"Biomedicina Regenerativa")</f>
        <v>11.5</v>
      </c>
      <c r="BK6" s="14">
        <f>AVERAGEIFS( E4:E1440, A4:A1440,"2021", D4:D1440,"Biomedicina Regenerativa")</f>
        <v>6.4</v>
      </c>
      <c r="BL6" s="37" t="e">
        <f>AVERAGEIFS( E4:E1440, A4:A1440,"2022", D4:D1440,"Biomedicina Regenerativa")</f>
        <v>#DIV/0!</v>
      </c>
      <c r="BM6" s="14">
        <v>5.7777777777777777</v>
      </c>
      <c r="BN6" s="14">
        <v>0</v>
      </c>
      <c r="BO6" s="14">
        <v>9.25</v>
      </c>
      <c r="BP6" s="14">
        <v>3</v>
      </c>
      <c r="BQ6" s="14">
        <v>4</v>
      </c>
      <c r="BR6" s="14">
        <v>2.6666666666666665</v>
      </c>
    </row>
    <row r="7" spans="1:70" ht="15" customHeight="1">
      <c r="A7" s="24">
        <v>2018</v>
      </c>
      <c r="B7" s="24" t="s">
        <v>136</v>
      </c>
      <c r="C7" s="24" t="s">
        <v>152</v>
      </c>
      <c r="D7" s="24" t="s">
        <v>153</v>
      </c>
      <c r="E7" s="23">
        <v>7</v>
      </c>
      <c r="F7" s="24" t="s">
        <v>207</v>
      </c>
      <c r="G7" s="24" t="s">
        <v>225</v>
      </c>
      <c r="H7" s="23" t="s">
        <v>226</v>
      </c>
      <c r="I7" s="24" t="s">
        <v>226</v>
      </c>
      <c r="J7" s="23" t="s">
        <v>226</v>
      </c>
      <c r="K7" s="24" t="s">
        <v>226</v>
      </c>
      <c r="L7" s="23"/>
      <c r="M7" s="25">
        <v>43230</v>
      </c>
      <c r="N7" s="24">
        <v>2018</v>
      </c>
      <c r="O7" s="67" t="s">
        <v>11</v>
      </c>
      <c r="P7" s="68"/>
      <c r="Q7" s="68"/>
      <c r="R7" s="68"/>
      <c r="S7" s="68"/>
      <c r="T7" s="69"/>
      <c r="U7" s="5">
        <f>COUNTIFS( D4:D1440,"Biotecnología en Biomedicina")</f>
        <v>8</v>
      </c>
      <c r="V7" s="5">
        <f>COUNTIFS( D4:D1440,"Biotecnología en Biomedicina",F4:F1440,"Hombre")</f>
        <v>3</v>
      </c>
      <c r="W7" s="5">
        <f>COUNTIFS( D4:D1440,"Biotecnología en Biomedicina",F4:F1440,"Mujer")</f>
        <v>5</v>
      </c>
      <c r="X7" s="19">
        <f>COUNTIFS(   A4:A1440,"2018", D4:D1440,"Biotecnología en Biomedicina")</f>
        <v>3</v>
      </c>
      <c r="Y7" s="5">
        <f>COUNTIFS(   A4:A1440,"2019", D4:D1440,"Biotecnología en Biomedicina")</f>
        <v>1</v>
      </c>
      <c r="Z7" s="5">
        <f>COUNTIFS(   A4:A1440,"2020", D4:D1440,"Biotecnología en Biomedicina")</f>
        <v>3</v>
      </c>
      <c r="AA7" s="5">
        <f>COUNTIFS(   A4:A1440,"2021", D4:D1440,"Biotecnología en Biomedicina")</f>
        <v>1</v>
      </c>
      <c r="AB7" s="5">
        <f>COUNTIFS(  A4:A1440,"2022", D4:D1440,"Biotecnología en Biomedicina")</f>
        <v>0</v>
      </c>
      <c r="AC7" s="19">
        <f>COUNTIFS(   N4:N1440,"2018", D4:D1440,"Biotecnología en Biomedicina")</f>
        <v>0</v>
      </c>
      <c r="AD7" s="5">
        <f>COUNTIFS(   N4:N1440,"2019", D4:D1440,"Biotecnología en Biomedicina")</f>
        <v>3</v>
      </c>
      <c r="AE7" s="5">
        <f>COUNTIFS(   N4:N1440,"2020", D4:D1440,"Biotecnología en Biomedicina")</f>
        <v>2</v>
      </c>
      <c r="AF7" s="5">
        <f>COUNTIFS(   N4:N1440,"2021", D4:D1440,"Biotecnología en Biomedicina")</f>
        <v>3</v>
      </c>
      <c r="AG7" s="5">
        <f>COUNTIFS(   N4:N1440,"2022", D4:D1440,"Biotecnología en Biomedicina")</f>
        <v>0</v>
      </c>
      <c r="AH7" s="5">
        <f>COUNTIFS( D4:D1440,"Biotecnología en Biomedicina",G4:G1440,"Sí")</f>
        <v>0</v>
      </c>
      <c r="AI7" s="5">
        <f>COUNTIFS( D4:D1440,"Biotecnología en Biomedicina",G4:G1440,"No")</f>
        <v>8</v>
      </c>
      <c r="AJ7" s="5">
        <f>SUMIFS(E4:E1440,D4:D1440,"Biotecnología en Biomedicina",G4:G1440,"Sí")</f>
        <v>0</v>
      </c>
      <c r="AK7" s="5">
        <f>SUMIFS(E4:E1440,D4:D1440,"Biotecnología en Biomedicina",G4:G1440,"No")</f>
        <v>77</v>
      </c>
      <c r="AL7" s="5">
        <f>COUNTIFS( D4:D1440,"Biotecnología en Biomedicina",H4:H1440,"Sí")</f>
        <v>8</v>
      </c>
      <c r="AM7" s="5">
        <f>COUNTIFS( D4:D1440,"Biotecnología en Biomedicina",I4:I1440,"Sí")</f>
        <v>7</v>
      </c>
      <c r="AN7" s="5">
        <f>COUNTIFS( D4:D1440,"Biotecnología en Biomedicina",I4:I1440,"No")</f>
        <v>1</v>
      </c>
      <c r="AO7" s="5">
        <f>SUMIFS(E4:E1440,D4:D1440,"Biotecnología en Biomedicina",I4:I1440,"Sí")</f>
        <v>75</v>
      </c>
      <c r="AP7" s="5">
        <f>SUMIFS(E4:E1440,D4:D1440,"Biotecnología en Biomedicina",I4:I1440,"No")</f>
        <v>2</v>
      </c>
      <c r="AQ7" s="5">
        <f>COUNTIFS( D4:D1440,"Biotecnología en Biomedicina",J4:J1440,"Sí")</f>
        <v>8</v>
      </c>
      <c r="AR7" s="5">
        <f>COUNTIFS( D4:D1440,"Biotecnología en Biomedicina",K4:K1440,"Sí")</f>
        <v>4</v>
      </c>
      <c r="AS7" s="5">
        <f>COUNTIFS( D4:D1440,"Biotecnología en Biomedicina",L4:L1440,"Sí")</f>
        <v>0</v>
      </c>
      <c r="AT7" s="5">
        <f>SUMIFS(E4:E1440,D4:D1440,"Biotecnología en Biomedicina")</f>
        <v>77</v>
      </c>
      <c r="AU7" s="5">
        <f>SUMIFS( E4:E1440, F4:F1440,"Hombre", D4:D1440,"Biotecnología en Biomedicina")</f>
        <v>35</v>
      </c>
      <c r="AV7" s="5">
        <f>SUMIFS( E4:E1440, F4:F1440,"Mujer", D4:D1440,"Biotecnología en Biomedicina")</f>
        <v>42</v>
      </c>
      <c r="AW7" s="19">
        <f>SUMIFS( E4:E1440, A4:A1440,"2018", D4:D1440,"Biotecnología en Biomedicina")</f>
        <v>18</v>
      </c>
      <c r="AX7" s="5">
        <f>SUMIFS( E4:E1440, A4:A1440,"2019", D4:D1440,"Biotecnología en Biomedicina")</f>
        <v>2</v>
      </c>
      <c r="AY7" s="5">
        <f>SUMIFS( E4:E1440, A4:A1440,"2020", D4:D1440,"Biotecnología en Biomedicina")</f>
        <v>45</v>
      </c>
      <c r="AZ7" s="5">
        <f>SUMIFS( E4:E1440, A4:A1440,"2021", D4:D1440,"Biotecnología en Biomedicina")</f>
        <v>12</v>
      </c>
      <c r="BA7" s="5">
        <f>SUMIFS( E4:E1440, A4:A1440,"2022", D4:D1440,"Biotecnología en Biomedicina")</f>
        <v>0</v>
      </c>
      <c r="BB7" s="19">
        <f>SUMIFS( E4:E1440, N4:N1440,"2018", D4:D1440,"Biotecnología en Biomedicina")</f>
        <v>0</v>
      </c>
      <c r="BC7" s="5">
        <f>SUMIFS( E4:E1440, N4:N1440,"2019", D4:D1440,"Biotecnología en Biomedicina")</f>
        <v>18</v>
      </c>
      <c r="BD7" s="5">
        <f>SUMIFS( E4:E1440, N4:N1440,"2020", D4:D1440,"Biotecnología en Biomedicina")</f>
        <v>14</v>
      </c>
      <c r="BE7" s="5">
        <f>SUMIFS( E4:E1440, N4:N1440,"2021", D4:D1440,"Biotecnología en Biomedicina")</f>
        <v>45</v>
      </c>
      <c r="BF7" s="5">
        <f>SUMIFS( E4:E1440, N4:N1440,"2022", D4:D1440,"Biotecnología en Biomedicina")</f>
        <v>0</v>
      </c>
      <c r="BG7" s="14">
        <f>AVERAGEIFS(E4:E1440,D4:D1440,"Biotecnología en Biomedicina")</f>
        <v>9.625</v>
      </c>
      <c r="BH7" s="14">
        <v>0</v>
      </c>
      <c r="BI7" s="14">
        <v>0</v>
      </c>
      <c r="BJ7" s="14">
        <v>0</v>
      </c>
      <c r="BK7" s="14">
        <v>0</v>
      </c>
      <c r="BL7" s="37" t="e">
        <f>AVERAGEIFS( E4:E1440, A4:A1440,"2022", D4:D1440,"Biotecnología en Biomedicina")</f>
        <v>#DIV/0!</v>
      </c>
      <c r="BM7" s="14">
        <v>6</v>
      </c>
      <c r="BN7" s="14">
        <v>0</v>
      </c>
      <c r="BO7" s="14">
        <v>0</v>
      </c>
      <c r="BP7" s="14">
        <v>0</v>
      </c>
      <c r="BQ7" s="14">
        <v>0</v>
      </c>
      <c r="BR7" s="14">
        <v>6</v>
      </c>
    </row>
    <row r="8" spans="1:70" ht="15" customHeight="1">
      <c r="A8" s="24">
        <v>2018</v>
      </c>
      <c r="B8" s="27" t="s">
        <v>4</v>
      </c>
      <c r="C8" s="24" t="s">
        <v>18</v>
      </c>
      <c r="D8" s="24" t="s">
        <v>22</v>
      </c>
      <c r="E8" s="23">
        <v>6</v>
      </c>
      <c r="F8" s="24" t="s">
        <v>211</v>
      </c>
      <c r="G8" s="24" t="s">
        <v>225</v>
      </c>
      <c r="H8" s="23" t="s">
        <v>226</v>
      </c>
      <c r="I8" s="24" t="s">
        <v>225</v>
      </c>
      <c r="J8" s="23" t="s">
        <v>226</v>
      </c>
      <c r="K8" s="24" t="s">
        <v>226</v>
      </c>
      <c r="L8" s="23"/>
      <c r="M8" s="25">
        <v>43230</v>
      </c>
      <c r="N8" s="24">
        <v>2018</v>
      </c>
      <c r="O8" s="67" t="s">
        <v>6</v>
      </c>
      <c r="P8" s="68"/>
      <c r="Q8" s="68"/>
      <c r="R8" s="68"/>
      <c r="S8" s="68"/>
      <c r="T8" s="69"/>
      <c r="U8" s="5">
        <f>COUNTIFS(   D4:D1440,"Evolución Humana. Antropología Física y Forense")</f>
        <v>17</v>
      </c>
      <c r="V8" s="5">
        <f>COUNTIFS(   D4:D1440,"Evolución Humana. Antropología Física y Forense",F4:F1440,"Hombre")</f>
        <v>11</v>
      </c>
      <c r="W8" s="5">
        <f>COUNTIFS(   D4:D1440,"Evolución Humana. Antropología Física y Forense",F4:F1440,"Mujer")</f>
        <v>6</v>
      </c>
      <c r="X8" s="19">
        <f>COUNTIFS(   A4:A1440,"2018", D4:D1440,"Evolución Humana. Antropología Física y Forense")</f>
        <v>5</v>
      </c>
      <c r="Y8" s="5">
        <f>COUNTIFS(   A4:A1440,"2019", D4:D1440,"Evolución Humana. Antropología Física y Forense")</f>
        <v>1</v>
      </c>
      <c r="Z8" s="5">
        <f>COUNTIFS(   A4:A1440,"2020", D4:D1440,"Evolución Humana. Antropología Física y Forense")</f>
        <v>7</v>
      </c>
      <c r="AA8" s="5">
        <f>COUNTIFS(   A4:A1440,"2021", D4:D1440,"Evolución Humana. Antropología Física y Forense")</f>
        <v>4</v>
      </c>
      <c r="AB8" s="5">
        <f>COUNTIFS(  A4:A1440,"2022", D4:D1440,"Evolución Humana. Antropología Física y Forense")</f>
        <v>0</v>
      </c>
      <c r="AC8" s="19">
        <f>COUNTIFS(   N4:N1440,"2018", D4:D1440,"Evolución Humana. Antropología Física y Forense")</f>
        <v>1</v>
      </c>
      <c r="AD8" s="5">
        <f>COUNTIFS(   N4:N1440,"2019", D4:D1440,"Evolución Humana. Antropología Física y Forense")</f>
        <v>5</v>
      </c>
      <c r="AE8" s="5">
        <f>COUNTIFS(   N4:N1440,"2020", D4:D1440,"Evolución Humana. Antropología Física y Forense")</f>
        <v>2</v>
      </c>
      <c r="AF8" s="5">
        <f>COUNTIFS(   N4:N1440,"2021", D4:D1440,"Evolución Humana. Antropología Física y Forense")</f>
        <v>6</v>
      </c>
      <c r="AG8" s="5">
        <f>COUNTIFS(   N4:N1440,"2022", D4:D1440,"Evolución Humana. Antropología Física y Forense")</f>
        <v>3</v>
      </c>
      <c r="AH8" s="5">
        <f>COUNTIFS(   D4:D1440,"Evolución Humana. Antropología Física y Forense",G4:G1440,"Sí")</f>
        <v>0</v>
      </c>
      <c r="AI8" s="5">
        <f>COUNTIFS(   D4:D1440,"Evolución Humana. Antropología Física y Forense",G4:G1440,"No")</f>
        <v>17</v>
      </c>
      <c r="AJ8" s="5">
        <f>SUMIFS( E4:E1440, D4:D1440,"Evolución Humana. Antropología Física y Forense",G4:G1440,"Sí")</f>
        <v>0</v>
      </c>
      <c r="AK8" s="5">
        <f>SUMIFS( E4:E1440, D4:D1440,"Evolución Humana. Antropología Física y Forense",G4:G1440,"No")</f>
        <v>86</v>
      </c>
      <c r="AL8" s="5">
        <f>COUNTIFS(   D4:D1440,"Evolución Humana. Antropología Física y Forense",H4:H1440,"Sí")</f>
        <v>16</v>
      </c>
      <c r="AM8" s="5">
        <f>COUNTIFS(   D4:D1440,"Evolución Humana. Antropología Física y Forense",I4:I1440,"Sí")</f>
        <v>8</v>
      </c>
      <c r="AN8" s="5">
        <f>COUNTIFS(   D4:D1440,"Evolución Humana. Antropología Física y Forense",I4:I1440,"No")</f>
        <v>9</v>
      </c>
      <c r="AO8" s="5">
        <f>SUMIFS( E4:E1440, D4:D1440,"Evolución Humana. Antropología Física y Forense",I4:I1440,"Sí")</f>
        <v>53</v>
      </c>
      <c r="AP8" s="5">
        <f>SUMIFS( E4:E1440, D4:D1440,"Evolución Humana. Antropología Física y Forense",I4:I1440,"No")</f>
        <v>33</v>
      </c>
      <c r="AQ8" s="5">
        <f>COUNTIFS(   D4:D1440,"Evolución Humana. Antropología Física y Forense",J4:J1440,"Sí")</f>
        <v>17</v>
      </c>
      <c r="AR8" s="5">
        <f>COUNTIFS(   D4:D1440,"Evolución Humana. Antropología Física y Forense",K4:K1440,"Sí")</f>
        <v>6</v>
      </c>
      <c r="AS8" s="5">
        <f>COUNTIFS(   D4:D1440,"Evolución Humana. Antropología Física y Forense",L4:L1440,"Sí")</f>
        <v>0</v>
      </c>
      <c r="AT8" s="5">
        <f>SUMIFS( E4:E1440, D4:D1440,"Evolución Humana. Antropología Física y Forense")</f>
        <v>86</v>
      </c>
      <c r="AU8" s="5">
        <f>SUMIFS( E4:E1440, F4:F1440,"Hombre", D4:D1440,"Evolución Humana. Antropología Física y Forense")</f>
        <v>40</v>
      </c>
      <c r="AV8" s="5">
        <f>SUMIFS( E4:E1440, F4:F1440,"Mujer", D4:D1440,"Evolución Humana. Antropología Física y Forense")</f>
        <v>46</v>
      </c>
      <c r="AW8" s="19">
        <f>SUMIFS( E4:E1440, A4:A1440,"2018", D4:D1440,"Evolución Humana. Antropología Física y Forense")</f>
        <v>30</v>
      </c>
      <c r="AX8" s="5">
        <f>SUMIFS( E4:E1440, A4:A1440,"2019", D4:D1440,"Evolución Humana. Antropología Física y Forense")</f>
        <v>2</v>
      </c>
      <c r="AY8" s="5">
        <f>SUMIFS( E4:E1440, A4:A1440,"2020", D4:D1440,"Evolución Humana. Antropología Física y Forense")</f>
        <v>27</v>
      </c>
      <c r="AZ8" s="5">
        <f>SUMIFS( E4:E1440, A4:A1440,"2021", D4:D1440,"Evolución Humana. Antropología Física y Forense")</f>
        <v>27</v>
      </c>
      <c r="BA8" s="5">
        <f>SUMIFS( E4:E1440, A4:A1440,"2022", D4:D1440,"Evolución Humana. Antropología Física y Forense")</f>
        <v>0</v>
      </c>
      <c r="BB8" s="19">
        <f>SUMIFS( E4:E1440, N4:N1440,"2018", D4:D1440,"Evolución Humana. Antropología Física y Forense")</f>
        <v>3</v>
      </c>
      <c r="BC8" s="5">
        <f>SUMIFS( E4:E1440, N4:N1440,"2019", D4:D1440,"Evolución Humana. Antropología Física y Forense")</f>
        <v>29</v>
      </c>
      <c r="BD8" s="5">
        <f>SUMIFS( E4:E1440, N4:N1440,"2020", D4:D1440,"Evolución Humana. Antropología Física y Forense")</f>
        <v>1</v>
      </c>
      <c r="BE8" s="5">
        <f>SUMIFS( E4:E1440, N4:N1440,"2021", D4:D1440,"Evolución Humana. Antropología Física y Forense")</f>
        <v>28</v>
      </c>
      <c r="BF8" s="5">
        <f>SUMIFS( E4:E1440, N4:N1440,"2022", D4:D1440,"Evolución Humana. Antropología Física y Forense")</f>
        <v>25</v>
      </c>
      <c r="BG8" s="14">
        <f>AVERAGEIFS( E4:E1440, D4:D1440,"Evolución Humana. Antropología Física y Forense")</f>
        <v>5.375</v>
      </c>
      <c r="BH8" s="14">
        <v>0</v>
      </c>
      <c r="BI8" s="14">
        <v>0</v>
      </c>
      <c r="BJ8" s="14">
        <f>AVERAGEIFS( E4:E1440, A4:A1440,"2020", D4:D1440,"Evolución Humana. Antropología Física y Forense")</f>
        <v>4.5</v>
      </c>
      <c r="BK8" s="14">
        <v>0</v>
      </c>
      <c r="BL8" s="37" t="e">
        <f>AVERAGEIFS( E4:E1440, A4:A1440,"2022", D4:D1440,"Evolución Humana. Antropología Física y Forense")</f>
        <v>#DIV/0!</v>
      </c>
      <c r="BM8" s="14">
        <v>11.5</v>
      </c>
      <c r="BN8" s="14">
        <v>0</v>
      </c>
      <c r="BO8" s="14">
        <v>0</v>
      </c>
      <c r="BP8" s="14">
        <v>14</v>
      </c>
      <c r="BQ8" s="14">
        <v>0</v>
      </c>
      <c r="BR8" s="14">
        <v>9</v>
      </c>
    </row>
    <row r="9" spans="1:70" ht="15" customHeight="1">
      <c r="A9" s="24">
        <v>2018</v>
      </c>
      <c r="B9" s="24" t="s">
        <v>78</v>
      </c>
      <c r="C9" s="24" t="s">
        <v>681</v>
      </c>
      <c r="D9" s="24" t="s">
        <v>198</v>
      </c>
      <c r="E9" s="23">
        <v>13</v>
      </c>
      <c r="F9" s="24" t="s">
        <v>207</v>
      </c>
      <c r="G9" s="24" t="s">
        <v>225</v>
      </c>
      <c r="H9" s="23" t="s">
        <v>226</v>
      </c>
      <c r="I9" s="24" t="s">
        <v>226</v>
      </c>
      <c r="J9" s="23" t="s">
        <v>226</v>
      </c>
      <c r="K9" s="24" t="s">
        <v>226</v>
      </c>
      <c r="L9" s="23"/>
      <c r="M9" s="25">
        <v>43230</v>
      </c>
      <c r="N9" s="24">
        <v>2018</v>
      </c>
      <c r="O9" s="67" t="s">
        <v>12</v>
      </c>
      <c r="P9" s="68"/>
      <c r="Q9" s="68"/>
      <c r="R9" s="68"/>
      <c r="S9" s="68"/>
      <c r="T9" s="69"/>
      <c r="U9" s="5">
        <f>COUNTIFS(   D4:D1440,"Ingeniería Tisular")</f>
        <v>9</v>
      </c>
      <c r="V9" s="5">
        <f>COUNTIFS(   D4:D1440,"Ingeniería Tisular",F4:F1440,"Hombre")</f>
        <v>9</v>
      </c>
      <c r="W9" s="5">
        <f>COUNTIFS(   D4:D1440,"Ingeniería Tisular",F4:F1440,"Mujer")</f>
        <v>0</v>
      </c>
      <c r="X9" s="19">
        <f>COUNTIFS(   A4:A1440,"2018", D4:D1440,"Ingeniería Tisular")</f>
        <v>4</v>
      </c>
      <c r="Y9" s="5">
        <f>COUNTIFS(   A4:A1440,"2019", D4:D1440,"Ingeniería Tisular")</f>
        <v>1</v>
      </c>
      <c r="Z9" s="5">
        <f>COUNTIFS(   A4:A1440,"2020", D4:D1440,"Ingeniería Tisular")</f>
        <v>3</v>
      </c>
      <c r="AA9" s="5">
        <f>COUNTIFS(   A4:A1440,"2021", D4:D1440,"Ingeniería Tisular")</f>
        <v>1</v>
      </c>
      <c r="AB9" s="5">
        <f>COUNTIFS(  A4:A1440,"2022", D4:D1440,"Ingeniería Tisular")</f>
        <v>0</v>
      </c>
      <c r="AC9" s="19">
        <f>COUNTIFS(   N4:N1440,"2018", D4:D1440,"Ingeniería Tisular")</f>
        <v>2</v>
      </c>
      <c r="AD9" s="5">
        <f>COUNTIFS(   N4:N1440,"2019", D4:D1440,"Ingeniería Tisular")</f>
        <v>3</v>
      </c>
      <c r="AE9" s="5">
        <f>COUNTIFS(   N4:N1440,"2020", D4:D1440,"Ingeniería Tisular")</f>
        <v>2</v>
      </c>
      <c r="AF9" s="5">
        <f>COUNTIFS(   N4:N1440,"2021", D4:D1440,"Ingeniería Tisular")</f>
        <v>1</v>
      </c>
      <c r="AG9" s="5">
        <f>COUNTIFS(   N4:N1440,"2022", D4:D1440,"Ingeniería Tisular")</f>
        <v>1</v>
      </c>
      <c r="AH9" s="5">
        <f>COUNTIFS(   D4:D1440,"Ingeniería Tisular",G4:G1440,"Sí")</f>
        <v>0</v>
      </c>
      <c r="AI9" s="5">
        <f>COUNTIFS(   D4:D1440,"Ingeniería Tisular",G4:G1440,"No")</f>
        <v>9</v>
      </c>
      <c r="AJ9" s="5">
        <f>SUMIFS( E4:E1440, D4:D1440,"Ingeniería Tisular",G4:G1440,"Sí")</f>
        <v>0</v>
      </c>
      <c r="AK9" s="5">
        <f>SUMIFS( E4:E1440, D4:D1440,"Ingeniería Tisular",G4:G1440,"No")</f>
        <v>78</v>
      </c>
      <c r="AL9" s="5">
        <f>COUNTIFS(   D4:D1440,"Ingeniería Tisular",H4:H1440,"Sí")</f>
        <v>9</v>
      </c>
      <c r="AM9" s="5">
        <f>COUNTIFS(   D4:D1440,"Ingeniería Tisular",I4:I1440,"Sí")</f>
        <v>4</v>
      </c>
      <c r="AN9" s="5">
        <f>COUNTIFS(   D4:D1440,"Ingeniería Tisular",I4:I1440,"No")</f>
        <v>5</v>
      </c>
      <c r="AO9" s="5">
        <f>SUMIFS( E4:E1440, D4:D1440,"Ingeniería Tisular",I4:I1440,"Sí")</f>
        <v>48</v>
      </c>
      <c r="AP9" s="5">
        <f>SUMIFS( E4:E1440, D4:D1440,"Ingeniería Tisular",I4:I1440,"No")</f>
        <v>30</v>
      </c>
      <c r="AQ9" s="5">
        <f>COUNTIFS(   D4:D1440,"Ingeniería Tisular",J4:J1440,"Sí")</f>
        <v>9</v>
      </c>
      <c r="AR9" s="5">
        <f>COUNTIFS(   D4:D1440,"Ingeniería Tisular",K4:K1440,"Sí")</f>
        <v>5</v>
      </c>
      <c r="AS9" s="5">
        <f>COUNTIFS(   D4:D1440,"Ingeniería Tisular",L4:L1440,"Sí")</f>
        <v>0</v>
      </c>
      <c r="AT9" s="5">
        <f>SUMIFS( E4:E1440, D4:D1440,"Ingeniería Tisular")</f>
        <v>78</v>
      </c>
      <c r="AU9" s="5">
        <f>SUMIFS( E4:E1440, F4:F1440,"Hombre", D4:D1440,"Ingeniería Tisular")</f>
        <v>78</v>
      </c>
      <c r="AV9" s="5">
        <f>SUMIFS( E4:E1440, F4:F1440,"Mujer", D4:D1440,"Ingeniería Tisular")</f>
        <v>0</v>
      </c>
      <c r="AW9" s="19">
        <f>SUMIFS( E4:E1440, A4:A1440,"2018", D4:D1440,"Ingeniería Tisular")</f>
        <v>27</v>
      </c>
      <c r="AX9" s="5">
        <f>SUMIFS( E4:E1440, A4:A1440,"2019", D4:D1440,"Ingeniería Tisular")</f>
        <v>1</v>
      </c>
      <c r="AY9" s="5">
        <f>SUMIFS( E4:E1440, A4:A1440,"2020", D4:D1440,"Ingeniería Tisular")</f>
        <v>36</v>
      </c>
      <c r="AZ9" s="5">
        <f>SUMIFS( E4:E1440, A4:A1440,"2021", D4:D1440,"Ingeniería Tisular")</f>
        <v>14</v>
      </c>
      <c r="BA9" s="5">
        <f>SUMIFS( E4:E1440, A4:A1440,"2022", D4:D1440,"Ingeniería Tisular")</f>
        <v>0</v>
      </c>
      <c r="BB9" s="19">
        <f>SUMIFS( E4:E1440, N4:N1440,"2018", D4:D1440,"Ingeniería Tisular")</f>
        <v>11</v>
      </c>
      <c r="BC9" s="5">
        <f>SUMIFS( E4:E1440, N4:N1440,"2019", D4:D1440,"Ingeniería Tisular")</f>
        <v>17</v>
      </c>
      <c r="BD9" s="5">
        <f>SUMIFS( E4:E1440, N4:N1440,"2020", D4:D1440,"Ingeniería Tisular")</f>
        <v>16</v>
      </c>
      <c r="BE9" s="5">
        <f>SUMIFS( E4:E1440, N4:N1440,"2021", D4:D1440,"Ingeniería Tisular")</f>
        <v>20</v>
      </c>
      <c r="BF9" s="5">
        <f>SUMIFS( E4:E1440, N4:N1440,"2022", D4:D1440,"Ingeniería Tisular")</f>
        <v>14</v>
      </c>
      <c r="BG9" s="14">
        <f>AVERAGEIFS( E4:E1440, D4:D1440,"Ingeniería Tisular")</f>
        <v>8.6666666666666661</v>
      </c>
      <c r="BH9" s="14">
        <v>0</v>
      </c>
      <c r="BI9" s="14">
        <v>0</v>
      </c>
      <c r="BJ9" s="14">
        <v>0</v>
      </c>
      <c r="BK9" s="14">
        <f>AVERAGEIFS( E4:E1440, A4:A1440,"2021", D4:D1440,"Ingeniería Tisular")</f>
        <v>14</v>
      </c>
      <c r="BL9" s="37">
        <v>0</v>
      </c>
      <c r="BM9" s="14">
        <v>11.333333333333334</v>
      </c>
      <c r="BN9" s="14">
        <v>0</v>
      </c>
      <c r="BO9" s="14">
        <v>0</v>
      </c>
      <c r="BP9" s="14">
        <v>0</v>
      </c>
      <c r="BQ9" s="14">
        <v>11.333333333333334</v>
      </c>
      <c r="BR9" s="14">
        <v>0</v>
      </c>
    </row>
    <row r="10" spans="1:70" ht="15" customHeight="1">
      <c r="A10" s="24">
        <v>2018</v>
      </c>
      <c r="B10" s="24" t="s">
        <v>78</v>
      </c>
      <c r="C10" s="24" t="s">
        <v>681</v>
      </c>
      <c r="D10" s="24" t="s">
        <v>248</v>
      </c>
      <c r="E10" s="23">
        <v>3</v>
      </c>
      <c r="F10" s="24" t="s">
        <v>207</v>
      </c>
      <c r="G10" s="24" t="s">
        <v>225</v>
      </c>
      <c r="H10" s="23" t="s">
        <v>226</v>
      </c>
      <c r="I10" s="24" t="s">
        <v>226</v>
      </c>
      <c r="J10" s="23" t="s">
        <v>226</v>
      </c>
      <c r="K10" s="24" t="s">
        <v>226</v>
      </c>
      <c r="L10" s="23"/>
      <c r="M10" s="25">
        <v>43230</v>
      </c>
      <c r="N10" s="24">
        <v>2018</v>
      </c>
      <c r="O10" s="67" t="s">
        <v>10</v>
      </c>
      <c r="P10" s="68"/>
      <c r="Q10" s="68"/>
      <c r="R10" s="68"/>
      <c r="S10" s="68"/>
      <c r="T10" s="69"/>
      <c r="U10" s="5">
        <f>COUNTIFS(   D4:D1440,"Inmunología")</f>
        <v>27</v>
      </c>
      <c r="V10" s="5">
        <f>COUNTIFS(   D4:D1440,"Inmunología",F4:F1440,"Hombre")</f>
        <v>12</v>
      </c>
      <c r="W10" s="5">
        <f>COUNTIFS(   D4:D1440,"Inmunología",F4:F1440,"Mujer")</f>
        <v>15</v>
      </c>
      <c r="X10" s="19">
        <f>COUNTIFS(   A4:A1440,"2018", D4:D1440,"Inmunología")</f>
        <v>5</v>
      </c>
      <c r="Y10" s="5">
        <f>COUNTIFS(   A4:A1440,"2019", D4:D1440,"Inmunología")</f>
        <v>7</v>
      </c>
      <c r="Z10" s="5">
        <f>COUNTIFS(   A4:A1440,"2020", D4:D1440,"Inmunología")</f>
        <v>8</v>
      </c>
      <c r="AA10" s="5">
        <f>COUNTIFS(   A4:A1440,"2021", D4:D1440,"Inmunología")</f>
        <v>7</v>
      </c>
      <c r="AB10" s="5">
        <f>COUNTIFS(  A4:A1440,"2022", D4:D1440,"Inmunología")</f>
        <v>0</v>
      </c>
      <c r="AC10" s="19">
        <f>COUNTIFS(   N4:N1440,"2018", D4:D1440,"Inmunología")</f>
        <v>0</v>
      </c>
      <c r="AD10" s="5">
        <f>COUNTIFS(   N4:N1440,"2019", D4:D1440,"Inmunología")</f>
        <v>9</v>
      </c>
      <c r="AE10" s="5">
        <f>COUNTIFS(   N4:N1440,"2020", D4:D1440,"Inmunología")</f>
        <v>5</v>
      </c>
      <c r="AF10" s="5">
        <f>COUNTIFS(   N4:N1440,"2021", D4:D1440,"Inmunología")</f>
        <v>10</v>
      </c>
      <c r="AG10" s="5">
        <f>COUNTIFS(   N4:N1440,"2022", D4:D1440,"Inmunología")</f>
        <v>3</v>
      </c>
      <c r="AH10" s="5">
        <f>COUNTIFS(   D4:D1440,"Inmunología",G4:G1440,"Sí")</f>
        <v>0</v>
      </c>
      <c r="AI10" s="5">
        <f>COUNTIFS(   D4:D1440,"Inmunología",G4:G1440,"No")</f>
        <v>27</v>
      </c>
      <c r="AJ10" s="5">
        <f>SUMIFS( E4:E1440, D4:D1440,"Inmunología",G4:G1440,"Sí")</f>
        <v>0</v>
      </c>
      <c r="AK10" s="5">
        <f>SUMIFS( E4:E1440, D4:D1440,"Inmunología",G4:G1440,"No")</f>
        <v>198</v>
      </c>
      <c r="AL10" s="5">
        <f>COUNTIFS(   D4:D1440,"Inmunología",H4:H1440,"Sí")</f>
        <v>22</v>
      </c>
      <c r="AM10" s="5">
        <f>COUNTIFS(   D4:D1440,"Inmunología",I4:I1440,"Sí")</f>
        <v>10</v>
      </c>
      <c r="AN10" s="5">
        <f>COUNTIFS(   D4:D1440,"Inmunología",I4:I1440,"No")</f>
        <v>17</v>
      </c>
      <c r="AO10" s="5">
        <f>SUMIFS( E4:E1440, D4:D1440,"Inmunología",I4:I1440,"Sí")</f>
        <v>69</v>
      </c>
      <c r="AP10" s="5">
        <f>SUMIFS( E4:E1440, D4:D1440,"Inmunología",I4:I1440,"No")</f>
        <v>129</v>
      </c>
      <c r="AQ10" s="5">
        <f>COUNTIFS(   D4:D1440,"Inmunología",J4:J1440,"Sí")</f>
        <v>27</v>
      </c>
      <c r="AR10" s="5">
        <f>COUNTIFS(   D4:D1440,"Inmunología",K4:K1440,"Sí")</f>
        <v>12</v>
      </c>
      <c r="AS10" s="5">
        <f>COUNTIFS(   D4:D1440,"Inmunología",L4:L1440,"Sí")</f>
        <v>0</v>
      </c>
      <c r="AT10" s="5">
        <f>SUMIFS( E4:E1440, D4:D1440,"Inmunología")</f>
        <v>198</v>
      </c>
      <c r="AU10" s="5">
        <f>SUMIFS( E4:E1440, F4:F1440,"Hombre", D4:D1440,"Inmunología")</f>
        <v>114</v>
      </c>
      <c r="AV10" s="5">
        <f>SUMIFS( E4:E1440, F4:F1440,"Mujer", D4:D1440,"Inmunología")</f>
        <v>84</v>
      </c>
      <c r="AW10" s="19">
        <f>SUMIFS( E4:E1440, A4:A1440,"2018", D4:D1440,"Inmunología")</f>
        <v>28</v>
      </c>
      <c r="AX10" s="5">
        <f>SUMIFS( E4:E1440, A4:A1440,"2019", D4:D1440,"Inmunología")</f>
        <v>63</v>
      </c>
      <c r="AY10" s="5">
        <f>SUMIFS( E4:E1440, A4:A1440,"2020", D4:D1440,"Inmunología")</f>
        <v>39</v>
      </c>
      <c r="AZ10" s="5">
        <f>SUMIFS( E4:E1440, A4:A1440,"2021", D4:D1440,"Inmunología")</f>
        <v>68</v>
      </c>
      <c r="BA10" s="5">
        <f>SUMIFS( E4:E1440, A4:A1440,"2022", D4:D1440,"Inmunología")</f>
        <v>0</v>
      </c>
      <c r="BB10" s="19">
        <f>SUMIFS( E4:E1440, N4:N1440,"2018", D4:D1440,"Inmunología")</f>
        <v>0</v>
      </c>
      <c r="BC10" s="5">
        <f>SUMIFS( E4:E1440, N4:N1440,"2019", D4:D1440,"Inmunología")</f>
        <v>64</v>
      </c>
      <c r="BD10" s="5">
        <f>SUMIFS( E4:E1440, N4:N1440,"2020", D4:D1440,"Inmunología")</f>
        <v>32</v>
      </c>
      <c r="BE10" s="5">
        <f>SUMIFS( E4:E1440, N4:N1440,"2021", D4:D1440,"Inmunología")</f>
        <v>53</v>
      </c>
      <c r="BF10" s="5">
        <f>SUMIFS( E4:E1440, N4:N1440,"2022", D4:D1440,"Inmunología")</f>
        <v>49</v>
      </c>
      <c r="BG10" s="14">
        <f>AVERAGEIFS( E4:E1440, D4:D1440,"Inmunología")</f>
        <v>9</v>
      </c>
      <c r="BH10" s="14">
        <v>0</v>
      </c>
      <c r="BI10" s="14">
        <v>0</v>
      </c>
      <c r="BJ10" s="14">
        <f>AVERAGEIFS( E4:E1440, A4:A1440,"2020", D4:D1440,"Inmunología")</f>
        <v>7.8</v>
      </c>
      <c r="BK10" s="14">
        <f>AVERAGEIFS( E4:E1440, A4:A1440,"2021", D4:D1440,"Inmunología")</f>
        <v>11.333333333333334</v>
      </c>
      <c r="BL10" s="37" t="e">
        <f>AVERAGEIFS( E4:E1440, A4:A1440,"2022", D4:D1440,"Inmunología")</f>
        <v>#DIV/0!</v>
      </c>
      <c r="BM10" s="14">
        <v>8.7777777777777786</v>
      </c>
      <c r="BN10" s="14">
        <v>0</v>
      </c>
      <c r="BO10" s="14">
        <v>0</v>
      </c>
      <c r="BP10" s="14">
        <v>10</v>
      </c>
      <c r="BQ10" s="14">
        <v>9</v>
      </c>
      <c r="BR10" s="14">
        <v>8.25</v>
      </c>
    </row>
    <row r="11" spans="1:70" ht="15" customHeight="1">
      <c r="A11" s="24">
        <v>2018</v>
      </c>
      <c r="B11" s="24" t="s">
        <v>78</v>
      </c>
      <c r="C11" s="24" t="s">
        <v>681</v>
      </c>
      <c r="D11" s="24" t="s">
        <v>249</v>
      </c>
      <c r="E11" s="23">
        <v>1</v>
      </c>
      <c r="F11" s="24" t="s">
        <v>207</v>
      </c>
      <c r="G11" s="24" t="s">
        <v>225</v>
      </c>
      <c r="H11" s="23" t="s">
        <v>226</v>
      </c>
      <c r="I11" s="24" t="s">
        <v>225</v>
      </c>
      <c r="J11" s="23" t="s">
        <v>226</v>
      </c>
      <c r="K11" s="24" t="s">
        <v>226</v>
      </c>
      <c r="L11" s="23"/>
      <c r="M11" s="25">
        <v>43232</v>
      </c>
      <c r="N11" s="24">
        <v>2018</v>
      </c>
      <c r="O11" s="67" t="s">
        <v>8</v>
      </c>
      <c r="P11" s="68"/>
      <c r="Q11" s="68"/>
      <c r="R11" s="68"/>
      <c r="S11" s="68"/>
      <c r="T11" s="69"/>
      <c r="U11" s="5">
        <f>COUNTIFS(   D4:D1440,"Investigación Traslacional y Medicina Personalizada")</f>
        <v>18</v>
      </c>
      <c r="V11" s="5">
        <f>COUNTIFS(   D4:D1440,"Investigación Traslacional y Medicina Personalizada",F4:F1440,"Hombre")</f>
        <v>12</v>
      </c>
      <c r="W11" s="5">
        <f>COUNTIFS(   D4:D1440,"Investigación Traslacional y Medicina Personalizada",F4:F1440,"Mujer")</f>
        <v>6</v>
      </c>
      <c r="X11" s="19">
        <f>COUNTIFS(   A4:A1440,"2018", D4:D1440,"Investigación Traslacional y Medicina Personalizada")</f>
        <v>0</v>
      </c>
      <c r="Y11" s="5">
        <f>COUNTIFS(   A4:A1440,"2019", D4:D1440,"Investigación Traslacional y Medicina Personalizada")</f>
        <v>6</v>
      </c>
      <c r="Z11" s="5">
        <f>COUNTIFS(   A4:A1440,"2020", D4:D1440,"Investigación Traslacional y Medicina Personalizada")</f>
        <v>9</v>
      </c>
      <c r="AA11" s="5">
        <f>COUNTIFS(   A4:A1440,"2021", D4:D1440,"Investigación Traslacional y Medicina Personalizada")</f>
        <v>3</v>
      </c>
      <c r="AB11" s="5">
        <f>COUNTIFS(  A4:A1440,"2022", D4:D1440,"Investigación Traslacional y Medicina Personalizada")</f>
        <v>0</v>
      </c>
      <c r="AC11" s="19">
        <f>COUNTIFS(   N4:N1440,"2018", D4:D1440,"Investigación Traslacional y Medicina Personalizada")</f>
        <v>0</v>
      </c>
      <c r="AD11" s="5">
        <f>COUNTIFS(   N4:N1440,"2019", D4:D1440,"Investigación Traslacional y Medicina Personalizada")</f>
        <v>2</v>
      </c>
      <c r="AE11" s="5">
        <f>COUNTIFS(   N4:N1440,"2020", D4:D1440,"Investigación Traslacional y Medicina Personalizada")</f>
        <v>6</v>
      </c>
      <c r="AF11" s="5">
        <f>COUNTIFS(   N4:N1440,"2021", D4:D1440,"Investigación Traslacional y Medicina Personalizada")</f>
        <v>7</v>
      </c>
      <c r="AG11" s="5">
        <f>COUNTIFS(   N4:N1440,"2022", D4:D1440,"Investigación Traslacional y Medicina Personalizada")</f>
        <v>3</v>
      </c>
      <c r="AH11" s="5">
        <f>COUNTIFS(   D4:D1440,"Investigación Traslacional y Medicina Personalizada",G4:G1440,"Sí")</f>
        <v>1</v>
      </c>
      <c r="AI11" s="5">
        <f>COUNTIFS(   D4:D1440,"Investigación Traslacional y Medicina Personalizada",G4:G1440,"No")</f>
        <v>17</v>
      </c>
      <c r="AJ11" s="5">
        <f>SUMIFS( E4:E1440, D4:D1440,"Investigación Traslacional y Medicina Personalizada",G4:G1440,"Sí")</f>
        <v>21</v>
      </c>
      <c r="AK11" s="5">
        <f>SUMIFS( E4:E1440, D4:D1440,"Investigación Traslacional y Medicina Personalizada",G4:G1440,"No")</f>
        <v>98</v>
      </c>
      <c r="AL11" s="5">
        <f>COUNTIFS(   D4:D1440,"Investigación Traslacional y Medicina Personalizada",H4:H1440,"Sí")</f>
        <v>17</v>
      </c>
      <c r="AM11" s="5">
        <f>COUNTIFS(   D4:D1440,"Investigación Traslacional y Medicina Personalizada",I4:I1440,"Sí")</f>
        <v>13</v>
      </c>
      <c r="AN11" s="5">
        <f>COUNTIFS(   D4:D1440,"Investigación Traslacional y Medicina Personalizada",I4:I1440,"No")</f>
        <v>5</v>
      </c>
      <c r="AO11" s="5">
        <f>SUMIFS( E4:E1440, D4:D1440,"Investigación Traslacional y Medicina Personalizada",I4:I1440,"Sí")</f>
        <v>96</v>
      </c>
      <c r="AP11" s="5">
        <f>SUMIFS( E4:E1440, D4:D1440,"Investigación Traslacional y Medicina Personalizada",I4:I1440,"No")</f>
        <v>23</v>
      </c>
      <c r="AQ11" s="5">
        <f>COUNTIFS(   D4:D1440,"Investigación Traslacional y Medicina Personalizada",J4:J1440,"Sí")</f>
        <v>18</v>
      </c>
      <c r="AR11" s="5">
        <f>COUNTIFS(   D4:D1440,"Investigación Traslacional y Medicina Personalizada",K4:K1440,"Sí")</f>
        <v>2</v>
      </c>
      <c r="AS11" s="5">
        <f>COUNTIFS(   D4:D1440,"Investigación Traslacional y Medicina Personalizada",L4:L1440,"Sí")</f>
        <v>0</v>
      </c>
      <c r="AT11" s="5">
        <f>SUMIFS( E4:E1440, D4:D1440,"Investigación Traslacional y Medicina Personalizada")</f>
        <v>119</v>
      </c>
      <c r="AU11" s="5">
        <f>SUMIFS( E4:E1440, F4:F1440,"Hombre", D4:D1440,"Investigación Traslacional y Medicina Personalizada")</f>
        <v>70</v>
      </c>
      <c r="AV11" s="5">
        <f>SUMIFS( E4:E1440, F4:F1440,"Mujer", D4:D1440,"Investigación Traslacional y Medicina Personalizada")</f>
        <v>49</v>
      </c>
      <c r="AW11" s="19">
        <f>SUMIFS( E4:E1440, A4:A1440,"2018", D4:D1440,"Investigación Traslacional y Medicina Personalizada")</f>
        <v>0</v>
      </c>
      <c r="AX11" s="5">
        <f>SUMIFS( E4:E1440, A4:A1440,"2019", D4:D1440,"Investigación Traslacional y Medicina Personalizada")</f>
        <v>43</v>
      </c>
      <c r="AY11" s="5">
        <f>SUMIFS( E4:E1440, A4:A1440,"2020", D4:D1440,"Investigación Traslacional y Medicina Personalizada")</f>
        <v>51</v>
      </c>
      <c r="AZ11" s="5">
        <f>SUMIFS( E4:E1440, A4:A1440,"2021", D4:D1440,"Investigación Traslacional y Medicina Personalizada")</f>
        <v>25</v>
      </c>
      <c r="BA11" s="5">
        <f>SUMIFS( E4:E1440, A4:A1440,"2022", D4:D1440,"Investigación Traslacional y Medicina Personalizada")</f>
        <v>0</v>
      </c>
      <c r="BB11" s="19">
        <f>SUMIFS( E4:E1440, N4:N1440,"2018", D4:D1440,"Investigación Traslacional y Medicina Personalizada")</f>
        <v>0</v>
      </c>
      <c r="BC11" s="5">
        <f>SUMIFS( E4:E1440, N4:N1440,"2019", D4:D1440,"Investigación Traslacional y Medicina Personalizada")</f>
        <v>6</v>
      </c>
      <c r="BD11" s="5">
        <f>SUMIFS( E4:E1440, N4:N1440,"2020", D4:D1440,"Investigación Traslacional y Medicina Personalizada")</f>
        <v>46</v>
      </c>
      <c r="BE11" s="5">
        <f>SUMIFS( E4:E1440, N4:N1440,"2021", D4:D1440,"Investigación Traslacional y Medicina Personalizada")</f>
        <v>42</v>
      </c>
      <c r="BF11" s="5">
        <f>SUMIFS( E4:E1440, N4:N1440,"2022", D4:D1440,"Investigación Traslacional y Medicina Personalizada")</f>
        <v>25</v>
      </c>
      <c r="BG11" s="14">
        <f>AVERAGEIFS( E4:E1440, D4:D1440,"Investigación Traslacional y Medicina Personalizada")</f>
        <v>7</v>
      </c>
      <c r="BH11" s="14">
        <v>0</v>
      </c>
      <c r="BI11" s="14">
        <v>0</v>
      </c>
      <c r="BJ11" s="14">
        <v>0</v>
      </c>
      <c r="BK11" s="14">
        <f>AVERAGEIFS( E4:E1440, A4:A1440,"2021", D4:D1440,"Investigación Traslacional y Medicina Personalizada")</f>
        <v>8.3333333333333339</v>
      </c>
      <c r="BL11" s="37" t="e">
        <f>AVERAGEIFS( E4:E1440, A4:A1440,"2022", D4:D1440,"Investigación Traslacional y Medicina Personalizada")</f>
        <v>#DIV/0!</v>
      </c>
      <c r="BM11" s="14">
        <v>4.333333333333333</v>
      </c>
      <c r="BN11" s="14">
        <v>0</v>
      </c>
      <c r="BO11" s="14">
        <v>0</v>
      </c>
      <c r="BP11" s="14">
        <v>0</v>
      </c>
      <c r="BQ11" s="14">
        <v>4</v>
      </c>
      <c r="BR11" s="14">
        <v>5</v>
      </c>
    </row>
    <row r="12" spans="1:70" ht="15" customHeight="1">
      <c r="A12" s="24">
        <v>2018</v>
      </c>
      <c r="B12" s="24" t="s">
        <v>136</v>
      </c>
      <c r="C12" s="24" t="s">
        <v>137</v>
      </c>
      <c r="D12" s="24"/>
      <c r="E12" s="23">
        <v>1</v>
      </c>
      <c r="F12" s="24" t="s">
        <v>207</v>
      </c>
      <c r="G12" s="24" t="s">
        <v>225</v>
      </c>
      <c r="H12" s="23" t="s">
        <v>226</v>
      </c>
      <c r="I12" s="24" t="s">
        <v>225</v>
      </c>
      <c r="J12" s="23" t="s">
        <v>226</v>
      </c>
      <c r="K12" s="24" t="s">
        <v>226</v>
      </c>
      <c r="L12" s="23"/>
      <c r="M12" s="25">
        <v>43232</v>
      </c>
      <c r="N12" s="24">
        <v>2018</v>
      </c>
      <c r="O12" s="67" t="s">
        <v>13</v>
      </c>
      <c r="P12" s="68"/>
      <c r="Q12" s="68"/>
      <c r="R12" s="68"/>
      <c r="S12" s="68"/>
      <c r="T12" s="69"/>
      <c r="U12" s="5">
        <f>COUNTIFS(   D4:D1440,"Neurociencias Básicas")</f>
        <v>10</v>
      </c>
      <c r="V12" s="5">
        <f>COUNTIFS(   D4:D1440,"Neurociencias Básicas",F4:F1440,"Hombre")</f>
        <v>3</v>
      </c>
      <c r="W12" s="5">
        <f>COUNTIFS(   D4:D1440,"Neurociencias Básicas",F4:F1440,"Mujer")</f>
        <v>7</v>
      </c>
      <c r="X12" s="19">
        <f>COUNTIFS(   A4:A1440,"2018", D4:D1440,"Neurociencias Básicas")</f>
        <v>1</v>
      </c>
      <c r="Y12" s="5">
        <f>COUNTIFS(   A4:A1440,"2019", D4:D1440,"Neurociencias Básicas")</f>
        <v>5</v>
      </c>
      <c r="Z12" s="5">
        <f>COUNTIFS(   A4:A1440,"2020", D4:D1440,"Neurociencias Básicas")</f>
        <v>1</v>
      </c>
      <c r="AA12" s="5">
        <f>COUNTIFS(   A4:A1440,"2021", D4:D1440,"Neurociencias Básicas")</f>
        <v>3</v>
      </c>
      <c r="AB12" s="5">
        <f>COUNTIFS(  A4:A1440,"2022", D4:D1440,"Neurociencias Básicas")</f>
        <v>0</v>
      </c>
      <c r="AC12" s="19">
        <f>COUNTIFS(   N4:N1440,"2018", D4:D1440,"Neurociencias Básicas")</f>
        <v>0</v>
      </c>
      <c r="AD12" s="5">
        <f>COUNTIFS(   N4:N1440,"2019", D4:D1440,"Neurociencias Básicas")</f>
        <v>3</v>
      </c>
      <c r="AE12" s="5">
        <f>COUNTIFS(   N4:N1440,"2020", D4:D1440,"Neurociencias Básicas")</f>
        <v>3</v>
      </c>
      <c r="AF12" s="5">
        <f>COUNTIFS(   N4:N1440,"2021", D4:D1440,"Neurociencias Básicas")</f>
        <v>2</v>
      </c>
      <c r="AG12" s="5">
        <f>COUNTIFS(   N4:N1440,"2022", D4:D1440,"Neurociencias Básicas")</f>
        <v>2</v>
      </c>
      <c r="AH12" s="5">
        <f>COUNTIFS(   D4:D1440,"Neurociencias Básicas",G4:G1440,"Sí")</f>
        <v>0</v>
      </c>
      <c r="AI12" s="5">
        <f>COUNTIFS(   D4:D1440,"Neurociencias Básicas",G4:G1440,"No")</f>
        <v>10</v>
      </c>
      <c r="AJ12" s="5">
        <f>SUMIFS( E4:E1440, D4:D1440,"Neurociencias Básicas",G4:G1440,"Sí")</f>
        <v>0</v>
      </c>
      <c r="AK12" s="5">
        <f>SUMIFS( E4:E1440, D4:D1440,"Neurociencias Básicas",G4:G1440,"No")</f>
        <v>73</v>
      </c>
      <c r="AL12" s="5">
        <f>COUNTIFS(   D4:D1440,"Neurociencias Básicas",H4:H1440,"Sí")</f>
        <v>9</v>
      </c>
      <c r="AM12" s="5">
        <f>COUNTIFS(   D4:D1440,"Neurociencias Básicas",I4:I1440,"Sí")</f>
        <v>7</v>
      </c>
      <c r="AN12" s="5">
        <f>COUNTIFS(   D4:D1440,"Neurociencias Básicas",I4:I1440,"No")</f>
        <v>3</v>
      </c>
      <c r="AO12" s="5">
        <f>SUMIFS( E4:E1440, D4:D1440,"Neurociencias Básicas",I4:I1440,"Sí")</f>
        <v>69</v>
      </c>
      <c r="AP12" s="5">
        <f>SUMIFS( E4:E1440, D4:D1440,"Neurociencias Básicas",I4:I1440,"No")</f>
        <v>4</v>
      </c>
      <c r="AQ12" s="5">
        <f>COUNTIFS(   D4:D1440,"Neurociencias Básicas",J4:J1440,"Sí")</f>
        <v>10</v>
      </c>
      <c r="AR12" s="5">
        <f>COUNTIFS(   D4:D1440,"Neurociencias Básicas",K4:K1440,"Sí")</f>
        <v>3</v>
      </c>
      <c r="AS12" s="5">
        <f>COUNTIFS(   D4:D1440,"Neurociencias Básicas",L4:L1440,"Sí")</f>
        <v>0</v>
      </c>
      <c r="AT12" s="5">
        <f>SUMIFS( E4:E1440, D4:D1440,"Neurociencias Básicas")</f>
        <v>73</v>
      </c>
      <c r="AU12" s="5">
        <f>SUMIFS( E4:E1440, F4:F1440,"Hombre", D4:D1440,"Neurociencias Básicas")</f>
        <v>37</v>
      </c>
      <c r="AV12" s="5">
        <f>SUMIFS( E4:E1440, F4:F1440,"Mujer", D4:D1440,"Neurociencias Básicas")</f>
        <v>36</v>
      </c>
      <c r="AW12" s="19">
        <f>SUMIFS( E4:E1440, A4:A1440,"2018", D4:D1440,"Neurociencias Básicas")</f>
        <v>21</v>
      </c>
      <c r="AX12" s="5">
        <f>SUMIFS( E4:E1440, A4:A1440,"2019", D4:D1440,"Neurociencias Básicas")</f>
        <v>35</v>
      </c>
      <c r="AY12" s="5">
        <f>SUMIFS( E4:E1440, A4:A1440,"2020", D4:D1440,"Neurociencias Básicas")</f>
        <v>9</v>
      </c>
      <c r="AZ12" s="5">
        <f>SUMIFS( E4:E1440, A4:A1440,"2021", D4:D1440,"Neurociencias Básicas")</f>
        <v>8</v>
      </c>
      <c r="BA12" s="5">
        <f>SUMIFS( E4:E1440, A4:A1440,"2022", D4:D1440,"Neurociencias Básicas")</f>
        <v>0</v>
      </c>
      <c r="BB12" s="19">
        <f>SUMIFS( E4:E1440, N4:N1440,"2018", D4:D1440,"Neurociencias Básicas")</f>
        <v>0</v>
      </c>
      <c r="BC12" s="5">
        <f>SUMIFS( E4:E1440, N4:N1440,"2019", D4:D1440,"Neurociencias Básicas")</f>
        <v>28</v>
      </c>
      <c r="BD12" s="5">
        <f>SUMIFS( E4:E1440, N4:N1440,"2020", D4:D1440,"Neurociencias Básicas")</f>
        <v>28</v>
      </c>
      <c r="BE12" s="5">
        <f>SUMIFS( E4:E1440, N4:N1440,"2021", D4:D1440,"Neurociencias Básicas")</f>
        <v>13</v>
      </c>
      <c r="BF12" s="5">
        <f>SUMIFS( E4:E1440, N4:N1440,"2022", D4:D1440,"Neurociencias Básicas")</f>
        <v>4</v>
      </c>
      <c r="BG12" s="14">
        <f>AVERAGEIFS( E4:E1440, D4:D1440,"Neurociencias Básicas")</f>
        <v>8.1111111111111107</v>
      </c>
      <c r="BH12" s="14">
        <v>0</v>
      </c>
      <c r="BI12" s="14">
        <v>0</v>
      </c>
      <c r="BJ12" s="14">
        <v>0</v>
      </c>
      <c r="BK12" s="14">
        <f>AVERAGEIFS( E4:E1440, A4:A1440,"2021", D4:D1440,"Neurociencias Básicas")</f>
        <v>2.6666666666666665</v>
      </c>
      <c r="BL12" s="37">
        <v>0</v>
      </c>
      <c r="BM12" s="14">
        <v>6</v>
      </c>
      <c r="BN12" s="14">
        <v>0</v>
      </c>
      <c r="BO12" s="14">
        <v>0</v>
      </c>
      <c r="BP12" s="14">
        <v>0</v>
      </c>
      <c r="BQ12" s="14">
        <v>6</v>
      </c>
      <c r="BR12" s="14">
        <v>0</v>
      </c>
    </row>
    <row r="13" spans="1:70" ht="15" customHeight="1">
      <c r="A13" s="24">
        <v>2018</v>
      </c>
      <c r="B13" s="24" t="s">
        <v>136</v>
      </c>
      <c r="C13" s="24" t="s">
        <v>137</v>
      </c>
      <c r="D13" s="24" t="s">
        <v>140</v>
      </c>
      <c r="E13" s="23">
        <v>3</v>
      </c>
      <c r="F13" s="24" t="s">
        <v>211</v>
      </c>
      <c r="G13" s="24" t="s">
        <v>225</v>
      </c>
      <c r="H13" s="23" t="s">
        <v>226</v>
      </c>
      <c r="I13" s="24" t="s">
        <v>225</v>
      </c>
      <c r="J13" s="23" t="s">
        <v>226</v>
      </c>
      <c r="K13" s="24" t="s">
        <v>226</v>
      </c>
      <c r="L13" s="23"/>
      <c r="M13" s="25">
        <v>43232</v>
      </c>
      <c r="N13" s="24">
        <v>2018</v>
      </c>
      <c r="O13" s="86" t="s">
        <v>44</v>
      </c>
      <c r="P13" s="87"/>
      <c r="Q13" s="87"/>
      <c r="R13" s="87"/>
      <c r="S13" s="87"/>
      <c r="T13" s="88"/>
      <c r="U13" s="4">
        <f>COUNTIFS(   C4:C1440,"Bioquímica y Biología Molecular")</f>
        <v>17</v>
      </c>
      <c r="V13" s="4">
        <f>COUNTIFS(   C4:C1440,"Bioquímica y Biología Molecular",F4:F1440,"Hombre")</f>
        <v>4</v>
      </c>
      <c r="W13" s="4">
        <f>COUNTIFS(   C4:C1440,"Bioquímica y Biología Molecular",F4:F1440,"Mujer")</f>
        <v>13</v>
      </c>
      <c r="X13" s="18">
        <f>COUNTIFS(   A4:A1440,"2018", C4:C1440,"Bioquímica y Biología Molecular")</f>
        <v>4</v>
      </c>
      <c r="Y13" s="4">
        <f>COUNTIFS(   A4:A1440,"2019", C4:C1440,"Bioquímica y Biología Molecular")</f>
        <v>5</v>
      </c>
      <c r="Z13" s="4">
        <f>COUNTIFS(   A4:A1440,"2020", C4:C1440,"Bioquímica y Biología Molecular")</f>
        <v>4</v>
      </c>
      <c r="AA13" s="4">
        <f>COUNTIFS(   A4:A1440,"2021", C4:C1440,"Bioquímica y Biología Molecular")</f>
        <v>4</v>
      </c>
      <c r="AB13" s="4">
        <f>COUNTIFS(   A4:A1440,"2022", C4:C1440,"Bioquímica y Biología Molecular")</f>
        <v>0</v>
      </c>
      <c r="AC13" s="18">
        <f>COUNTIFS(   N4:N1440,"2018", C4:C1440,"Bioquímica y Biología Molecular")</f>
        <v>1</v>
      </c>
      <c r="AD13" s="4">
        <f>COUNTIFS(   N4:N1440,"2019", C4:C1440,"Bioquímica y Biología Molecular")</f>
        <v>6</v>
      </c>
      <c r="AE13" s="4">
        <f>COUNTIFS(   N4:N1440,"2020", C4:C1440,"Bioquímica y Biología Molecular")</f>
        <v>4</v>
      </c>
      <c r="AF13" s="4">
        <f>COUNTIFS(   N4:N1440,"2021", C4:C1440,"Bioquímica y Biología Molecular")</f>
        <v>3</v>
      </c>
      <c r="AG13" s="4">
        <f>COUNTIFS(   N4:N1440,"2022", C4:C1440,"Bioquímica y Biología Molecular")</f>
        <v>3</v>
      </c>
      <c r="AH13" s="4">
        <f>COUNTIFS(   C4:C1440,"Bioquímica y Biología Molecular",G4:G1440,"Sí")</f>
        <v>0</v>
      </c>
      <c r="AI13" s="4">
        <f>COUNTIFS(   C4:C1440,"Bioquímica y Biología Molecular",G4:G1440,"No")</f>
        <v>17</v>
      </c>
      <c r="AJ13" s="4">
        <f>SUMIFS( E4:E1440, C4:C1440,"Bioquímica y Biología Molecular",G4:G1440,"Sí")</f>
        <v>0</v>
      </c>
      <c r="AK13" s="4">
        <f>SUMIFS( E4:E1440, C4:C1440,"Bioquímica y Biología Molecular",G4:G1440,"No")</f>
        <v>86</v>
      </c>
      <c r="AL13" s="4">
        <f>COUNTIFS(   C4:C1440,"Bioquímica y Biología Molecular",H4:H1440,"Sí")</f>
        <v>14</v>
      </c>
      <c r="AM13" s="4">
        <f>COUNTIFS(   C4:C1440,"Bioquímica y Biología Molecular",I4:I1440,"Sí")</f>
        <v>6</v>
      </c>
      <c r="AN13" s="4">
        <f>COUNTIFS(   C4:C1440,"Bioquímica y Biología Molecular",I4:I1440,"No")</f>
        <v>11</v>
      </c>
      <c r="AO13" s="4">
        <f>SUMIFS( E4:E1440, C4:C1440,"Bioquímica y Biología Molecular",I4:I1440,"Sí")</f>
        <v>36</v>
      </c>
      <c r="AP13" s="4">
        <f>SUMIFS( E4:E1440, C4:C1440,"Bioquímica y Biología Molecular",I4:I1440,"No")</f>
        <v>50</v>
      </c>
      <c r="AQ13" s="4">
        <f>COUNTIFS(   C4:C1440,"Bioquímica y Biología Molecular",J4:J1440,"Sí")</f>
        <v>17</v>
      </c>
      <c r="AR13" s="4">
        <f>COUNTIFS(   C4:C1440,"Bioquímica y Biología Molecular",K4:K1440,"Sí")</f>
        <v>9</v>
      </c>
      <c r="AS13" s="4">
        <f>COUNTIFS(   C4:C1440,"Bioquímica y Biología Molecular",L4:L1440,"Sí")</f>
        <v>0</v>
      </c>
      <c r="AT13" s="4">
        <f>SUMIFS( E4:E1440, C4:C1440,"Bioquímica y Biología Molecular")</f>
        <v>86</v>
      </c>
      <c r="AU13" s="4">
        <f>SUMIFS( E4:E1440, F4:F1440,"Hombre", C4:C1440,"Bioquímica y Biología Molecular")</f>
        <v>24</v>
      </c>
      <c r="AV13" s="4">
        <f>SUMIFS( E4:E1440, F4:F1440,"Mujer", C4:C1440,"Bioquímica y Biología Molecular")</f>
        <v>62</v>
      </c>
      <c r="AW13" s="18">
        <f>SUMIFS( E4:E1440, A4:A1440,"2018", C4:C1440,"Bioquímica y Biología Molecular")</f>
        <v>26</v>
      </c>
      <c r="AX13" s="4">
        <f>SUMIFS( E4:E1440, A4:A1440,"2019", C4:C1440,"Bioquímica y Biología Molecular")</f>
        <v>24</v>
      </c>
      <c r="AY13" s="4">
        <f>SUMIFS( E4:E1440, A4:A1440,"2020", C4:C1440,"Bioquímica y Biología Molecular")</f>
        <v>26</v>
      </c>
      <c r="AZ13" s="4">
        <f>SUMIFS( E4:E1440, A4:A1440,"2021", C4:C1440,"Bioquímica y Biología Molecular")</f>
        <v>10</v>
      </c>
      <c r="BA13" s="4">
        <f>SUMIFS( E4:E1440, A4:A1440,"2022", C4:C1440,"Bioquímica y Biología Molecular")</f>
        <v>0</v>
      </c>
      <c r="BB13" s="18">
        <f>SUMIFS( E4:E1440, N4:N1440,"2018", C4:C1440,"Bioquímica y Biología Molecular")</f>
        <v>5</v>
      </c>
      <c r="BC13" s="4">
        <f>SUMIFS( E4:E1440, N4:N1440,"2019", C4:C1440,"Bioquímica y Biología Molecular")</f>
        <v>32</v>
      </c>
      <c r="BD13" s="4">
        <f>SUMIFS( E4:E1440, N4:N1440,"2020", C4:C1440,"Bioquímica y Biología Molecular")</f>
        <v>25</v>
      </c>
      <c r="BE13" s="4">
        <f>SUMIFS( E4:E1440, N4:N1440,"2021", C4:C1440,"Bioquímica y Biología Molecular")</f>
        <v>15</v>
      </c>
      <c r="BF13" s="4">
        <f>SUMIFS( E4:E1440, N4:N1440,"2022", C4:C1440,"Bioquímica y Biología Molecular")</f>
        <v>9</v>
      </c>
      <c r="BG13" s="13">
        <f>AVERAGEIFS( E4:E1440, C4:C1440,"Bioquímica y Biología Molecular")</f>
        <v>6.1428571428571432</v>
      </c>
      <c r="BH13" s="13">
        <v>0</v>
      </c>
      <c r="BI13" s="13">
        <v>0</v>
      </c>
      <c r="BJ13" s="13">
        <f>AVERAGEIFS( E4:E1440, A4:A1440,"2020", C4:C1440,"Bioquímica y Biología Molecular")</f>
        <v>6.5</v>
      </c>
      <c r="BK13" s="13">
        <f>AVERAGEIFS( E4:E1440, A4:A1440,"2021", C4:C1440,"Bioquímica y Biología Molecular")</f>
        <v>5</v>
      </c>
      <c r="BL13" s="37" t="e">
        <f>AVERAGEIFS( E4:E1440, A4:A1440,"2022", C4:C1440,"Bioquímica y Biología Molecular")</f>
        <v>#DIV/0!</v>
      </c>
      <c r="BM13" s="13">
        <f>AVERAGE(AT14:AT16)</f>
        <v>27</v>
      </c>
      <c r="BN13" s="13">
        <f>AVERAGE(AW14:AW16)</f>
        <v>7</v>
      </c>
      <c r="BO13" s="13">
        <f>AVERAGE(AX14:AX16)</f>
        <v>8</v>
      </c>
      <c r="BP13" s="13">
        <f>AVERAGE(AY14:AY16)</f>
        <v>8.6666666666666661</v>
      </c>
      <c r="BQ13" s="13">
        <f>AVERAGE(AZ14:AZ16)</f>
        <v>3.3333333333333335</v>
      </c>
      <c r="BR13" s="13">
        <f>AVERAGE(BA14:BA16)</f>
        <v>0</v>
      </c>
    </row>
    <row r="14" spans="1:70" ht="15" customHeight="1">
      <c r="A14" s="24">
        <v>2018</v>
      </c>
      <c r="B14" s="24" t="s">
        <v>136</v>
      </c>
      <c r="C14" s="24" t="s">
        <v>137</v>
      </c>
      <c r="D14" s="24"/>
      <c r="E14" s="23">
        <v>1</v>
      </c>
      <c r="F14" s="24" t="s">
        <v>211</v>
      </c>
      <c r="G14" s="24" t="s">
        <v>225</v>
      </c>
      <c r="H14" s="23" t="s">
        <v>226</v>
      </c>
      <c r="I14" s="24" t="s">
        <v>226</v>
      </c>
      <c r="J14" s="23" t="s">
        <v>226</v>
      </c>
      <c r="K14" s="24" t="s">
        <v>226</v>
      </c>
      <c r="L14" s="23"/>
      <c r="M14" s="25">
        <v>43262</v>
      </c>
      <c r="N14" s="24">
        <v>2018</v>
      </c>
      <c r="O14" s="67" t="s">
        <v>16</v>
      </c>
      <c r="P14" s="68"/>
      <c r="Q14" s="68"/>
      <c r="R14" s="68"/>
      <c r="S14" s="68"/>
      <c r="T14" s="69"/>
      <c r="U14" s="5">
        <f>COUNTIFS(   D4:D1440,"Biología Molecular de protozoos parásitos")</f>
        <v>5</v>
      </c>
      <c r="V14" s="5">
        <f>COUNTIFS(   D4:D1440,"Biología Molecular de protozoos parásitos",F4:F1440,"Hombre")</f>
        <v>0</v>
      </c>
      <c r="W14" s="5">
        <f>COUNTIFS(   D4:D1440,"Biología Molecular de protozoos parásitos",F4:F1440,"Mujer")</f>
        <v>5</v>
      </c>
      <c r="X14" s="19">
        <f>COUNTIFS(   A4:A1440,"2018", D4:D1440,"Biología Molecular de protozoos parásitos")</f>
        <v>1</v>
      </c>
      <c r="Y14" s="5">
        <f>COUNTIFS(   A4:A1440,"2019", D4:D1440,"Biología Molecular de protozoos parásitos")</f>
        <v>2</v>
      </c>
      <c r="Z14" s="5">
        <f>COUNTIFS(   A4:A1440,"2020", D4:D1440,"Biología Molecular de protozoos parásitos")</f>
        <v>0</v>
      </c>
      <c r="AA14" s="5">
        <f>COUNTIFS(   A4:A1440,"2021", D4:D1440,"Biología Molecular de protozoos parásitos")</f>
        <v>2</v>
      </c>
      <c r="AB14" s="5">
        <f>COUNTIFS(  A4:A1440,"2022", D4:D1440,"Biología Molecular de protozoos parásitos")</f>
        <v>0</v>
      </c>
      <c r="AC14" s="19">
        <f>COUNTIFS(   N4:N1440,"2018", D4:D1440,"Biología Molecular de protozoos parásitos")</f>
        <v>0</v>
      </c>
      <c r="AD14" s="5">
        <f>COUNTIFS(   N4:N1440,"2019", D4:D1440,"Biología Molecular de protozoos parásitos")</f>
        <v>2</v>
      </c>
      <c r="AE14" s="5">
        <f>COUNTIFS(   N4:N1440,"2020", D4:D1440,"Biología Molecular de protozoos parásitos")</f>
        <v>1</v>
      </c>
      <c r="AF14" s="5">
        <f>COUNTIFS(   N4:N1440,"2021", D4:D1440,"Biología Molecular de protozoos parásitos")</f>
        <v>1</v>
      </c>
      <c r="AG14" s="5">
        <f>COUNTIFS(   N4:N1440,"2022", D4:D1440,"Biología Molecular de protozoos parásitos")</f>
        <v>1</v>
      </c>
      <c r="AH14" s="5">
        <f>COUNTIFS(   D4:D1440,"Biología Molecular de protozoos parásitos",G4:G1440,"Sí")</f>
        <v>0</v>
      </c>
      <c r="AI14" s="5">
        <f>COUNTIFS(   D4:D1440,"Biología Molecular de protozoos parásitos",G4:G1440,"No")</f>
        <v>5</v>
      </c>
      <c r="AJ14" s="5">
        <f>SUMIFS( E4:E1440, D4:D1440,"Biología Molecular de protozoos parásitos",G4:G1440,"Sí")</f>
        <v>0</v>
      </c>
      <c r="AK14" s="5">
        <f>SUMIFS( E4:E1440, D4:D1440,"Biología Molecular de protozoos parásitos",G4:G1440,"No")</f>
        <v>9</v>
      </c>
      <c r="AL14" s="5">
        <f>COUNTIFS(   D4:D1440,"Biología Molecular de protozoos parásitos",H4:H1440,"Sí")</f>
        <v>3</v>
      </c>
      <c r="AM14" s="5">
        <f>COUNTIFS(   D4:D1440,"Biología Molecular de protozoos parásitos",I4:I1440,"Sí")</f>
        <v>1</v>
      </c>
      <c r="AN14" s="5">
        <f>COUNTIFS(   D4:D1440,"Biología Molecular de protozoos parásitos",I4:I1440,"No")</f>
        <v>4</v>
      </c>
      <c r="AO14" s="5">
        <f>SUMIFS( E4:E1440, D4:D1440,"Biología Molecular de protozoos parásitos",I4:I1440,"Sí")</f>
        <v>5</v>
      </c>
      <c r="AP14" s="5">
        <f>SUMIFS( E4:E1440, D4:D1440,"Biología Molecular de protozoos parásitos",I4:I1440,"No")</f>
        <v>4</v>
      </c>
      <c r="AQ14" s="5">
        <f>COUNTIFS(   D4:D1440,"Biología Molecular de protozoos parásitos",J4:J1440,"Sí")</f>
        <v>5</v>
      </c>
      <c r="AR14" s="5">
        <f>COUNTIFS(   D4:D1440,"Biología Molecular de protozoos parásitos",K4:K1440,"Sí")</f>
        <v>3</v>
      </c>
      <c r="AS14" s="5">
        <f>COUNTIFS(   D4:D1440,"Biología Molecular de protozoos parásitos",L4:L1440,"Sí")</f>
        <v>0</v>
      </c>
      <c r="AT14" s="5">
        <f>SUMIFS( E4:E1440, D4:D1440,"Biología Molecular de protozoos parásitos")</f>
        <v>9</v>
      </c>
      <c r="AU14" s="5">
        <f>SUMIFS( E4:E1440, F4:F1440,"Hombre", D4:D1440,"Biología Molecular de protozoos parásitos")</f>
        <v>0</v>
      </c>
      <c r="AV14" s="5">
        <f>SUMIFS( E4:E1440, F4:F1440,"Mujer", D4:D1440,"Biología Molecular de protozoos parásitos")</f>
        <v>9</v>
      </c>
      <c r="AW14" s="19">
        <f>SUMIFS( E4:E1440, A4:A1440,"2018", D4:D1440,"Biología Molecular de protozoos parásitos")</f>
        <v>0</v>
      </c>
      <c r="AX14" s="5">
        <f>SUMIFS( E4:E1440, A4:A1440,"2019", D4:D1440,"Biología Molecular de protozoos parásitos")</f>
        <v>8</v>
      </c>
      <c r="AY14" s="5">
        <f>SUMIFS( E4:E1440, A4:A1440,"2020", D4:D1440,"Biología Molecular de protozoos parásitos")</f>
        <v>0</v>
      </c>
      <c r="AZ14" s="5">
        <f>SUMIFS( E4:E1440, A4:A1440,"2021", D4:D1440,"Biología Molecular de protozoos parásitos")</f>
        <v>1</v>
      </c>
      <c r="BA14" s="5">
        <f>SUMIFS( E4:E1440, A4:A1440,"2022", D4:D1440,"Biología Molecular de protozoos parásitos")</f>
        <v>0</v>
      </c>
      <c r="BB14" s="19">
        <f>SUMIFS( E4:E1440, N4:N1440,"2018", D4:D1440,"Biología Molecular de protozoos parásitos")</f>
        <v>0</v>
      </c>
      <c r="BC14" s="5">
        <f>SUMIFS( E4:E1440, N4:N1440,"2019", D4:D1440,"Biología Molecular de protozoos parásitos")</f>
        <v>3</v>
      </c>
      <c r="BD14" s="5">
        <f>SUMIFS( E4:E1440, N4:N1440,"2020", D4:D1440,"Biología Molecular de protozoos parásitos")</f>
        <v>5</v>
      </c>
      <c r="BE14" s="5">
        <f>SUMIFS( E4:E1440, N4:N1440,"2021", D4:D1440,"Biología Molecular de protozoos parásitos")</f>
        <v>1</v>
      </c>
      <c r="BF14" s="5">
        <f>SUMIFS( E4:E1440, N4:N1440,"2022", D4:D1440,"Biología Molecular de protozoos parásitos")</f>
        <v>0</v>
      </c>
      <c r="BG14" s="14">
        <f>AVERAGEIFS( E4:E1440, D4:D1440,"Biología Molecular de protozoos parásitos")</f>
        <v>3</v>
      </c>
      <c r="BH14" s="14">
        <v>0</v>
      </c>
      <c r="BI14" s="14">
        <v>0</v>
      </c>
      <c r="BJ14" s="14">
        <v>0</v>
      </c>
      <c r="BK14" s="14">
        <f>AVERAGEIFS( E4:E1440, A4:A1440,"2021", D4:D1440,"Biología Molecular de protozoos parásitos")</f>
        <v>1</v>
      </c>
      <c r="BL14" s="37">
        <v>0</v>
      </c>
      <c r="BM14" s="14">
        <v>4</v>
      </c>
      <c r="BN14" s="14">
        <v>0</v>
      </c>
      <c r="BO14" s="14">
        <v>0</v>
      </c>
      <c r="BP14" s="14">
        <v>0</v>
      </c>
      <c r="BQ14" s="14">
        <v>4</v>
      </c>
      <c r="BR14" s="14">
        <v>0</v>
      </c>
    </row>
    <row r="15" spans="1:70" ht="15" customHeight="1">
      <c r="A15" s="24">
        <v>2018</v>
      </c>
      <c r="B15" s="24" t="s">
        <v>4</v>
      </c>
      <c r="C15" s="24" t="s">
        <v>203</v>
      </c>
      <c r="D15" s="24" t="s">
        <v>40</v>
      </c>
      <c r="E15" s="23">
        <v>7</v>
      </c>
      <c r="F15" s="24" t="s">
        <v>211</v>
      </c>
      <c r="G15" s="24" t="s">
        <v>225</v>
      </c>
      <c r="H15" s="23" t="s">
        <v>226</v>
      </c>
      <c r="I15" s="24" t="s">
        <v>226</v>
      </c>
      <c r="J15" s="23" t="s">
        <v>226</v>
      </c>
      <c r="K15" s="24" t="s">
        <v>226</v>
      </c>
      <c r="L15" s="23"/>
      <c r="M15" s="25">
        <v>43292</v>
      </c>
      <c r="N15" s="24">
        <v>2018</v>
      </c>
      <c r="O15" s="67" t="s">
        <v>17</v>
      </c>
      <c r="P15" s="68"/>
      <c r="Q15" s="68"/>
      <c r="R15" s="68"/>
      <c r="S15" s="68"/>
      <c r="T15" s="69"/>
      <c r="U15" s="5">
        <f>COUNTIFS(   D4:D1440,"Bioquímica y Biología Molecular de plantas y microorganismos")</f>
        <v>2</v>
      </c>
      <c r="V15" s="5">
        <f>COUNTIFS(   D4:D1440,"Bioquímica y Biología Molecular de plantas y microorganismos",F4:F1440,"Hombre")</f>
        <v>1</v>
      </c>
      <c r="W15" s="5">
        <f>COUNTIFS(   D4:D1440,"Bioquímica y Biología Molecular de plantas y microorganismos",F4:F1440,"Mujer")</f>
        <v>1</v>
      </c>
      <c r="X15" s="19">
        <f>COUNTIFS(   A4:A1440,"2018", D4:D1440,"Bioquímica y Biología Molecular de plantas y microorganismos")</f>
        <v>0</v>
      </c>
      <c r="Y15" s="5">
        <f>COUNTIFS(   A4:A1440,"2019", D4:D1440,"Bioquímica y Biología Molecular de plantas y microorganismos")</f>
        <v>1</v>
      </c>
      <c r="Z15" s="5">
        <f>COUNTIFS(   A4:A1440,"2020", D4:D1440,"Bioquímica y Biología Molecular de plantas y microorganismos")</f>
        <v>1</v>
      </c>
      <c r="AA15" s="5">
        <f>COUNTIFS(   A4:A1440,"2021", D4:D1440,"Bioquímica y Biología Molecular de plantas y microorganismos")</f>
        <v>0</v>
      </c>
      <c r="AB15" s="5">
        <f>COUNTIFS(  A4:A1440,"2022", D4:D1440,"Bioquímica y Biología Molecular de plantas y microorganismos")</f>
        <v>0</v>
      </c>
      <c r="AC15" s="19">
        <f>COUNTIFS(   N4:N1440,"2018", D4:D1440,"Bioquímica y Biología Molecular de plantas y microorganismos")</f>
        <v>0</v>
      </c>
      <c r="AD15" s="5">
        <f>COUNTIFS(   N4:N1440,"2019", D4:D1440,"Bioquímica y Biología Molecular de plantas y microorganismos")</f>
        <v>1</v>
      </c>
      <c r="AE15" s="5">
        <f>COUNTIFS(   N4:N1440,"2020", D4:D1440,"Bioquímica y Biología Molecular de plantas y microorganismos")</f>
        <v>1</v>
      </c>
      <c r="AF15" s="5">
        <f>COUNTIFS(   N4:N1440,"2021", D4:D1440,"Bioquímica y Biología Molecular de plantas y microorganismos")</f>
        <v>0</v>
      </c>
      <c r="AG15" s="5">
        <f>COUNTIFS(   N4:N1440,"2022", D4:D1440,"Bioquímica y Biología Molecular de plantas y microorganismos")</f>
        <v>0</v>
      </c>
      <c r="AH15" s="5">
        <f>COUNTIFS(   D4:D1440,"Bioquímica y Biología Molecular de plantas y microorganismos",G4:G1440,"Sí")</f>
        <v>0</v>
      </c>
      <c r="AI15" s="5">
        <f>COUNTIFS(   D4:D1440,"Bioquímica y Biología Molecular de plantas y microorganismos",G4:G1440,"No")</f>
        <v>2</v>
      </c>
      <c r="AJ15" s="5">
        <f>SUMIFS( E4:E1440, D4:D1440,"Bioquímica y Biología Molecular de plantas y microorganismos",G4:G1440,"Sí")</f>
        <v>0</v>
      </c>
      <c r="AK15" s="5">
        <f>SUMIFS( E4:E1440, D4:D1440,"Bioquímica y Biología Molecular de plantas y microorganismos",G4:G1440,"No")</f>
        <v>5</v>
      </c>
      <c r="AL15" s="5">
        <f>COUNTIFS(   D4:D1440,"Bioquímica y Biología Molecular de plantas y microorganismos",H4:H1440,"Sí")</f>
        <v>2</v>
      </c>
      <c r="AM15" s="5">
        <f>COUNTIFS(   D4:D1440,"Bioquímica y Biología Molecular de plantas y microorganismos",I4:I1440,"Sí")</f>
        <v>0</v>
      </c>
      <c r="AN15" s="5">
        <f>COUNTIFS(   D4:D1440,"Bioquímica y Biología Molecular de plantas y microorganismos",I4:I1440,"No")</f>
        <v>2</v>
      </c>
      <c r="AO15" s="5">
        <f>SUMIFS( E4:E1440, D4:D1440,"Bioquímica y Biología Molecular de plantas y microorganismos",I4:I1440,"Sí")</f>
        <v>0</v>
      </c>
      <c r="AP15" s="5">
        <f>SUMIFS( E4:E1440, D4:D1440,"Bioquímica y Biología Molecular de plantas y microorganismos",I4:I1440,"No")</f>
        <v>5</v>
      </c>
      <c r="AQ15" s="5">
        <f>COUNTIFS(   D4:D1440,"Bioquímica y Biología Molecular de plantas y microorganismos",J4:J1440,"Sí")</f>
        <v>2</v>
      </c>
      <c r="AR15" s="5">
        <f>COUNTIFS(   D4:D1440,"Bioquímica y Biología Molecular de plantas y microorganismos",K4:K1440,"Sí")</f>
        <v>1</v>
      </c>
      <c r="AS15" s="5">
        <f>COUNTIFS(   D4:D1440,"Bioquímica y Biología Molecular de plantas y microorganismos",L4:L1440,"Sí")</f>
        <v>0</v>
      </c>
      <c r="AT15" s="5">
        <f>SUMIFS( E4:E1440, D4:D1440,"Bioquímica y Biología Molecular de plantas y microorganismos")</f>
        <v>5</v>
      </c>
      <c r="AU15" s="5">
        <f>SUMIFS( E4:E1440, F4:F1440,"Hombre", D4:D1440,"Bioquímica y Biología Molecular de plantas y microorganismos")</f>
        <v>1</v>
      </c>
      <c r="AV15" s="5">
        <f>SUMIFS( E4:E1440, F4:F1440,"Mujer", D4:D1440,"Bioquímica y Biología Molecular de plantas y microorganismos")</f>
        <v>4</v>
      </c>
      <c r="AW15" s="19">
        <f>SUMIFS( E4:E1440, A4:A1440,"2018", D4:D1440,"Bioquímica y Biología Molecular de plantas y microorganismos")</f>
        <v>0</v>
      </c>
      <c r="AX15" s="5">
        <f>SUMIFS( E4:E1440, A4:A1440,"2019", D4:D1440,"Bioquímica y Biología Molecular de plantas y microorganismos")</f>
        <v>1</v>
      </c>
      <c r="AY15" s="5">
        <f>SUMIFS( E4:E1440, A4:A1440,"2020", D4:D1440,"Bioquímica y Biología Molecular de plantas y microorganismos")</f>
        <v>4</v>
      </c>
      <c r="AZ15" s="5">
        <f>SUMIFS( E4:E1440, A4:A1440,"2021", D4:D1440,"Bioquímica y Biología Molecular de plantas y microorganismos")</f>
        <v>0</v>
      </c>
      <c r="BA15" s="5">
        <f>SUMIFS( E4:E1440, A4:A1440,"2022", D4:D1440,"Bioquímica y Biología Molecular de plantas y microorganismos")</f>
        <v>0</v>
      </c>
      <c r="BB15" s="19">
        <f>SUMIFS( E4:E1440, N4:N1440,"2018", D4:D1440,"Bioquímica y Biología Molecular de plantas y microorganismos")</f>
        <v>0</v>
      </c>
      <c r="BC15" s="5">
        <f>SUMIFS( E4:E1440, N4:N1440,"2019", D4:D1440,"Bioquímica y Biología Molecular de plantas y microorganismos")</f>
        <v>1</v>
      </c>
      <c r="BD15" s="5">
        <f>SUMIFS( E4:E1440, N4:N1440,"2020", D4:D1440,"Bioquímica y Biología Molecular de plantas y microorganismos")</f>
        <v>4</v>
      </c>
      <c r="BE15" s="5">
        <f>SUMIFS( E4:E1440, N4:N1440,"2021", D4:D1440,"Bioquímica y Biología Molecular de plantas y microorganismos")</f>
        <v>0</v>
      </c>
      <c r="BF15" s="5">
        <f>SUMIFS( E4:E1440, N4:N1440,"2022", D4:D1440,"Bioquímica y Biología Molecular de plantas y microorganismos")</f>
        <v>0</v>
      </c>
      <c r="BG15" s="14">
        <f>AVERAGEIFS( E4:E1440, D4:D1440,"Bioquímica y Biología Molecular de plantas y microorganismos")</f>
        <v>2.5</v>
      </c>
      <c r="BH15" s="14">
        <v>0</v>
      </c>
      <c r="BI15" s="14">
        <v>0</v>
      </c>
      <c r="BJ15" s="14">
        <f>AVERAGEIFS( E4:E1440, A4:A1440,"2020", D4:D1440,"Bioquímica y Biología Molecular de plantas y microorganismos")</f>
        <v>4</v>
      </c>
      <c r="BK15" s="14">
        <v>0</v>
      </c>
      <c r="BL15" s="37">
        <v>0</v>
      </c>
      <c r="BM15" s="14">
        <v>17.333333333333332</v>
      </c>
      <c r="BN15" s="14">
        <v>0</v>
      </c>
      <c r="BO15" s="14">
        <v>0</v>
      </c>
      <c r="BP15" s="14">
        <v>17.333333333333332</v>
      </c>
      <c r="BQ15" s="14">
        <v>0</v>
      </c>
      <c r="BR15" s="14">
        <v>0</v>
      </c>
    </row>
    <row r="16" spans="1:70" ht="15" customHeight="1">
      <c r="A16" s="24">
        <v>2018</v>
      </c>
      <c r="B16" s="24" t="s">
        <v>78</v>
      </c>
      <c r="C16" s="24" t="s">
        <v>681</v>
      </c>
      <c r="D16" s="24" t="s">
        <v>250</v>
      </c>
      <c r="E16" s="23">
        <v>17</v>
      </c>
      <c r="F16" s="24" t="s">
        <v>207</v>
      </c>
      <c r="G16" s="24" t="s">
        <v>225</v>
      </c>
      <c r="H16" s="23" t="s">
        <v>226</v>
      </c>
      <c r="I16" s="24" t="s">
        <v>226</v>
      </c>
      <c r="J16" s="23" t="s">
        <v>226</v>
      </c>
      <c r="K16" s="24" t="s">
        <v>226</v>
      </c>
      <c r="L16" s="23"/>
      <c r="M16" s="25">
        <v>43292</v>
      </c>
      <c r="N16" s="24">
        <v>2018</v>
      </c>
      <c r="O16" s="67" t="s">
        <v>15</v>
      </c>
      <c r="P16" s="68"/>
      <c r="Q16" s="68"/>
      <c r="R16" s="68"/>
      <c r="S16" s="68"/>
      <c r="T16" s="69"/>
      <c r="U16" s="5">
        <f>COUNTIFS(   D4:D1440,"Bioquímica y Biología molecular en Ciencias de la vida")</f>
        <v>9</v>
      </c>
      <c r="V16" s="5">
        <f>COUNTIFS(   D4:D1440,"Bioquímica y Biología molecular en Ciencias de la vida",F4:F1440,"Hombre")</f>
        <v>3</v>
      </c>
      <c r="W16" s="5">
        <f>COUNTIFS(   D4:D1440,"Bioquímica y Biología molecular en Ciencias de la vida",F4:F1440,"Mujer")</f>
        <v>6</v>
      </c>
      <c r="X16" s="19">
        <f>COUNTIFS(   A4:A1440,"2018", D4:D1440,"Bioquímica y Biología molecular en Ciencias de la vida")</f>
        <v>2</v>
      </c>
      <c r="Y16" s="5">
        <f>COUNTIFS(   A4:A1440,"2019", D4:D1440,"Bioquímica y Biología molecular en Ciencias de la vida")</f>
        <v>2</v>
      </c>
      <c r="Z16" s="5">
        <f>COUNTIFS(   A4:A1440,"2020", D4:D1440,"Bioquímica y Biología molecular en Ciencias de la vida")</f>
        <v>3</v>
      </c>
      <c r="AA16" s="5">
        <f>COUNTIFS(   A4:A1440,"2021", D4:D1440,"Bioquímica y Biología molecular en Ciencias de la vida")</f>
        <v>2</v>
      </c>
      <c r="AB16" s="5">
        <f>COUNTIFS(  A4:A1440,"2022", D4:D1440,"Bioquímica y Biología molecular en Ciencias de la vida")</f>
        <v>0</v>
      </c>
      <c r="AC16" s="19">
        <f>COUNTIFS(   N4:N1440,"2018", D4:D1440,"Bioquímica y Biología molecular en Ciencias de la vida")</f>
        <v>0</v>
      </c>
      <c r="AD16" s="5">
        <f>COUNTIFS(   N4:N1440,"2019", D4:D1440,"Bioquímica y Biología molecular en Ciencias de la vida")</f>
        <v>3</v>
      </c>
      <c r="AE16" s="5">
        <f>COUNTIFS(   N4:N1440,"2020", D4:D1440,"Bioquímica y Biología molecular en Ciencias de la vida")</f>
        <v>2</v>
      </c>
      <c r="AF16" s="5">
        <f>COUNTIFS(   N4:N1440,"2021", D4:D1440,"Bioquímica y Biología molecular en Ciencias de la vida")</f>
        <v>2</v>
      </c>
      <c r="AG16" s="5">
        <f>COUNTIFS(   N4:N1440,"2022", D4:D1440,"Bioquímica y Biología molecular en Ciencias de la vida")</f>
        <v>2</v>
      </c>
      <c r="AH16" s="5">
        <f>COUNTIFS(   D4:D1440,"Bioquímica y Biología molecular en Ciencias de la vida",G4:G1440,"Sí")</f>
        <v>0</v>
      </c>
      <c r="AI16" s="5">
        <f>COUNTIFS(   D4:D1440,"Bioquímica y Biología molecular en Ciencias de la vida",G4:G1440,"No")</f>
        <v>9</v>
      </c>
      <c r="AJ16" s="5">
        <f>SUMIFS( E4:E1440, D4:D1440,"Bioquímica y Biología molecular en Ciencias de la vida",G4:G1440,"Sí")</f>
        <v>0</v>
      </c>
      <c r="AK16" s="5">
        <f>SUMIFS( E4:E1440, D4:D1440,"Bioquímica y Biología molecular en Ciencias de la vida",G4:G1440,"No")</f>
        <v>67</v>
      </c>
      <c r="AL16" s="5">
        <f>COUNTIFS(   D4:D1440,"Bioquímica y Biología molecular en Ciencias de la vida",H4:H1440,"Sí")</f>
        <v>8</v>
      </c>
      <c r="AM16" s="5">
        <f>COUNTIFS(   D4:D1440,"Bioquímica y Biología molecular en Ciencias de la vida",I4:I1440,"Sí")</f>
        <v>5</v>
      </c>
      <c r="AN16" s="5">
        <f>COUNTIFS(   D4:D1440,"Bioquímica y Biología molecular en Ciencias de la vida",I4:I1440,"No")</f>
        <v>4</v>
      </c>
      <c r="AO16" s="5">
        <f>SUMIFS( E4:E1440, D4:D1440,"Bioquímica y Biología molecular en Ciencias de la vida",I4:I1440,"Sí")</f>
        <v>31</v>
      </c>
      <c r="AP16" s="5">
        <f>SUMIFS( E4:E1440, D4:D1440,"Bioquímica y Biología molecular en Ciencias de la vida",I4:I1440,"No")</f>
        <v>36</v>
      </c>
      <c r="AQ16" s="5">
        <f>COUNTIFS(   D4:D1440,"Bioquímica y Biología molecular en Ciencias de la vida",J4:J1440,"Sí")</f>
        <v>9</v>
      </c>
      <c r="AR16" s="5">
        <f>COUNTIFS(   D4:D1440,"Bioquímica y Biología molecular en Ciencias de la vida",K4:K1440,"Sí")</f>
        <v>4</v>
      </c>
      <c r="AS16" s="5">
        <f>COUNTIFS(   D4:D1440,"Bioquímica y Biología molecular en Ciencias de la vida",L4:L1440,"Sí")</f>
        <v>0</v>
      </c>
      <c r="AT16" s="5">
        <f>SUMIFS( E4:E1440, D4:D1440,"Bioquímica y Biología molecular en Ciencias de la vida")</f>
        <v>67</v>
      </c>
      <c r="AU16" s="5">
        <f>SUMIFS( E4:E1440, F4:F1440,"Hombre", D4:D1440,"Bioquímica y Biología molecular en Ciencias de la vida")</f>
        <v>23</v>
      </c>
      <c r="AV16" s="5">
        <f>SUMIFS( E4:E1440, F4:F1440,"Mujer", D4:D1440,"Bioquímica y Biología molecular en Ciencias de la vida")</f>
        <v>44</v>
      </c>
      <c r="AW16" s="19">
        <f>SUMIFS( E4:E1440, A4:A1440,"2018", D4:D1440,"Bioquímica y Biología molecular en Ciencias de la vida")</f>
        <v>21</v>
      </c>
      <c r="AX16" s="5">
        <f>SUMIFS( E4:E1440, A4:A1440,"2019", D4:D1440,"Bioquímica y Biología molecular en Ciencias de la vida")</f>
        <v>15</v>
      </c>
      <c r="AY16" s="5">
        <f>SUMIFS( E4:E1440, A4:A1440,"2020", D4:D1440,"Bioquímica y Biología molecular en Ciencias de la vida")</f>
        <v>22</v>
      </c>
      <c r="AZ16" s="5">
        <f>SUMIFS( E4:E1440, A4:A1440,"2021", D4:D1440,"Bioquímica y Biología molecular en Ciencias de la vida")</f>
        <v>9</v>
      </c>
      <c r="BA16" s="5">
        <f>SUMIFS( E4:E1440, A4:A1440,"2022", D4:D1440,"Bioquímica y Biología molecular en Ciencias de la vida")</f>
        <v>0</v>
      </c>
      <c r="BB16" s="19">
        <f>SUMIFS( E4:E1440, N4:N1440,"2018", D4:D1440,"Bioquímica y Biología molecular en Ciencias de la vida")</f>
        <v>0</v>
      </c>
      <c r="BC16" s="5">
        <f>SUMIFS( E4:E1440, N4:N1440,"2019", D4:D1440,"Bioquímica y Biología molecular en Ciencias de la vida")</f>
        <v>28</v>
      </c>
      <c r="BD16" s="5">
        <f>SUMIFS( E4:E1440, N4:N1440,"2020", D4:D1440,"Bioquímica y Biología molecular en Ciencias de la vida")</f>
        <v>16</v>
      </c>
      <c r="BE16" s="5">
        <f>SUMIFS( E4:E1440, N4:N1440,"2021", D4:D1440,"Bioquímica y Biología molecular en Ciencias de la vida")</f>
        <v>14</v>
      </c>
      <c r="BF16" s="5">
        <f>SUMIFS( E4:E1440, N4:N1440,"2022", D4:D1440,"Bioquímica y Biología molecular en Ciencias de la vida")</f>
        <v>9</v>
      </c>
      <c r="BG16" s="14">
        <f>AVERAGEIFS( E4:E1440, D4:D1440,"Bioquímica y Biología molecular en Ciencias de la vida")</f>
        <v>8.375</v>
      </c>
      <c r="BH16" s="14">
        <v>0</v>
      </c>
      <c r="BI16" s="14">
        <v>0</v>
      </c>
      <c r="BJ16" s="14">
        <v>0</v>
      </c>
      <c r="BK16" s="14">
        <f>AVERAGEIFS( E4:E1440, A4:A1440,"2021", D4:D1440,"Bioquímica y Biología molecular en Ciencias de la vida")</f>
        <v>9</v>
      </c>
      <c r="BL16" s="37" t="e">
        <f>AVERAGEIFS( E4:E1440, A4:A1440,"2022", D4:D1440,"Bioquímica y Biología molecular en Ciencias de la vida")</f>
        <v>#DIV/0!</v>
      </c>
      <c r="BM16" s="14">
        <v>4.4000000000000004</v>
      </c>
      <c r="BN16" s="14">
        <v>0</v>
      </c>
      <c r="BO16" s="14">
        <v>0</v>
      </c>
      <c r="BP16" s="14">
        <v>0</v>
      </c>
      <c r="BQ16" s="14">
        <v>2.5</v>
      </c>
      <c r="BR16" s="14">
        <v>5.666666666666667</v>
      </c>
    </row>
    <row r="17" spans="1:70" ht="15" customHeight="1">
      <c r="A17" s="24">
        <v>2018</v>
      </c>
      <c r="B17" s="24" t="s">
        <v>136</v>
      </c>
      <c r="C17" s="24" t="s">
        <v>168</v>
      </c>
      <c r="D17" s="24" t="s">
        <v>170</v>
      </c>
      <c r="E17" s="23">
        <v>1</v>
      </c>
      <c r="F17" s="24" t="s">
        <v>211</v>
      </c>
      <c r="G17" s="24" t="s">
        <v>225</v>
      </c>
      <c r="H17" s="23" t="s">
        <v>226</v>
      </c>
      <c r="I17" s="24" t="s">
        <v>226</v>
      </c>
      <c r="J17" s="23" t="s">
        <v>226</v>
      </c>
      <c r="K17" s="24" t="s">
        <v>226</v>
      </c>
      <c r="L17" s="23"/>
      <c r="M17" s="25">
        <v>43323</v>
      </c>
      <c r="N17" s="24">
        <v>2018</v>
      </c>
      <c r="O17" s="86" t="s">
        <v>45</v>
      </c>
      <c r="P17" s="87"/>
      <c r="Q17" s="87"/>
      <c r="R17" s="87"/>
      <c r="S17" s="87"/>
      <c r="T17" s="88"/>
      <c r="U17" s="4">
        <f>COUNTIFS(   C4:C1440,"Farmacia")</f>
        <v>47</v>
      </c>
      <c r="V17" s="4">
        <f>COUNTIFS(   C4:C1440,"Farmacia",F4:F1440,"Hombre")</f>
        <v>14</v>
      </c>
      <c r="W17" s="4">
        <f>COUNTIFS(   C4:C1440,"Farmacia",F4:F1440,"Mujer")</f>
        <v>33</v>
      </c>
      <c r="X17" s="18">
        <f>COUNTIFS(   A4:A1440,"2018", C4:C1440,"Farmacia")</f>
        <v>14</v>
      </c>
      <c r="Y17" s="4">
        <f>COUNTIFS(   A4:A1440,"2019", C4:C1440,"Farmacia")</f>
        <v>7</v>
      </c>
      <c r="Z17" s="4">
        <f>COUNTIFS(   A4:A1440,"2020", C4:C1440,"Farmacia")</f>
        <v>15</v>
      </c>
      <c r="AA17" s="4">
        <f>COUNTIFS(   A4:A1440,"2021", C4:C1440,"Farmacia")</f>
        <v>11</v>
      </c>
      <c r="AB17" s="4">
        <f>COUNTIFS(   A4:A1440,"2022", C4:C1440,"Farmacia")</f>
        <v>0</v>
      </c>
      <c r="AC17" s="18">
        <f>COUNTIFS(   N4:N1440,"2018", C4:C1440,"Farmacia")</f>
        <v>4</v>
      </c>
      <c r="AD17" s="4">
        <f>COUNTIFS(   N4:N1440,"2019", C4:C1440,"Farmacia")</f>
        <v>11</v>
      </c>
      <c r="AE17" s="4">
        <f>COUNTIFS(   N4:N1440,"2020", C4:C1440,"Farmacia")</f>
        <v>10</v>
      </c>
      <c r="AF17" s="4">
        <f>COUNTIFS(   N4:N1440,"2021", C4:C1440,"Farmacia")</f>
        <v>14</v>
      </c>
      <c r="AG17" s="4">
        <f>COUNTIFS(   N4:N1440,"2022", C4:C1440,"Farmacia")</f>
        <v>8</v>
      </c>
      <c r="AH17" s="4">
        <f>COUNTIFS(   C4:C1440,"Farmacia",G4:G1440,"Sí")</f>
        <v>1</v>
      </c>
      <c r="AI17" s="4">
        <f>COUNTIFS(   C4:C1440,"Farmacia",G4:G1440,"No")</f>
        <v>46</v>
      </c>
      <c r="AJ17" s="4">
        <f>SUMIFS( E4:E1440, C4:C1440,"Farmacia",G4:G1440,"Sí")</f>
        <v>1</v>
      </c>
      <c r="AK17" s="4">
        <f>SUMIFS( E4:E1440, C4:C1440,"Farmacia",G4:G1440,"No")</f>
        <v>327</v>
      </c>
      <c r="AL17" s="4">
        <f>COUNTIFS(   C4:C1440,"Farmacia",H4:H1440,"Sí")</f>
        <v>44</v>
      </c>
      <c r="AM17" s="4">
        <f>COUNTIFS(   C4:C1440,"Farmacia",I4:I1440,"Sí")</f>
        <v>12</v>
      </c>
      <c r="AN17" s="4">
        <f>COUNTIFS(   C4:C1440,"Farmacia",I4:I1440,"No")</f>
        <v>35</v>
      </c>
      <c r="AO17" s="4">
        <f>SUMIFS( E4:E1440, C4:C1440,"Farmacia",I4:I1440,"Sí")</f>
        <v>127</v>
      </c>
      <c r="AP17" s="4">
        <f>SUMIFS( E4:E1440, C4:C1440,"Farmacia",I4:I1440,"No")</f>
        <v>201</v>
      </c>
      <c r="AQ17" s="4">
        <f>COUNTIFS(   C4:C1440,"Farmacia",J4:J1440,"Sí")</f>
        <v>47</v>
      </c>
      <c r="AR17" s="4">
        <f>COUNTIFS(   C4:C1440,"Farmacia",K4:K1440,"Sí")</f>
        <v>16</v>
      </c>
      <c r="AS17" s="4">
        <f>COUNTIFS(   C4:C1440,"Farmacia",L4:L1440,"Sí")</f>
        <v>0</v>
      </c>
      <c r="AT17" s="4">
        <f>SUMIFS( E4:E1440, C4:C1440,"Farmacia")</f>
        <v>328</v>
      </c>
      <c r="AU17" s="4">
        <f>SUMIFS( E4:E1440, F4:F1440,"Hombre", C4:C1440,"Farmacia")</f>
        <v>110</v>
      </c>
      <c r="AV17" s="4">
        <f>SUMIFS( E4:E1440, F4:F1440,"Mujer", C4:C1440,"Farmacia")</f>
        <v>218</v>
      </c>
      <c r="AW17" s="18">
        <f>SUMIFS( E4:E1440, A4:A1440,"2018", C4:C1440,"Farmacia")</f>
        <v>163</v>
      </c>
      <c r="AX17" s="4">
        <f>SUMIFS( E4:E1440, A4:A1440,"2019", C4:C1440,"Farmacia")</f>
        <v>46</v>
      </c>
      <c r="AY17" s="4">
        <f>SUMIFS( E4:E1440, A4:A1440,"2020", C4:C1440,"Farmacia")</f>
        <v>82</v>
      </c>
      <c r="AZ17" s="4">
        <f>SUMIFS( E4:E1440, A4:A1440,"2021", C4:C1440,"Farmacia")</f>
        <v>37</v>
      </c>
      <c r="BA17" s="4">
        <f>SUMIFS( E4:E1440, A4:A1440,"2022", C4:C1440,"Farmacia")</f>
        <v>0</v>
      </c>
      <c r="BB17" s="18">
        <f>SUMIFS( E4:E1440, N4:N1440,"2018", C4:C1440,"Farmacia")</f>
        <v>68</v>
      </c>
      <c r="BC17" s="4">
        <f>SUMIFS( E4:E1440, N4:N1440,"2019", C4:C1440,"Farmacia")</f>
        <v>104</v>
      </c>
      <c r="BD17" s="4">
        <f>SUMIFS( E4:E1440, N4:N1440,"2020", C4:C1440,"Farmacia")</f>
        <v>84</v>
      </c>
      <c r="BE17" s="4">
        <f>SUMIFS( E4:E1440, N4:N1440,"2021", C4:C1440,"Farmacia")</f>
        <v>52</v>
      </c>
      <c r="BF17" s="4">
        <f>SUMIFS( E4:E1440, N4:N1440,"2022", C4:C1440,"Farmacia")</f>
        <v>20</v>
      </c>
      <c r="BG17" s="13">
        <f>AVERAGEIFS( E4:E1440, C4:C1440,"Farmacia")</f>
        <v>7.4545454545454541</v>
      </c>
      <c r="BH17" s="13">
        <v>0</v>
      </c>
      <c r="BI17" s="13">
        <f>AVERAGEIFS( E4:E1440, A4:A1440,"2019", C4:C1440,"Farmacia")</f>
        <v>6.5714285714285712</v>
      </c>
      <c r="BJ17" s="13">
        <f>AVERAGEIFS( E4:E1440, A4:A1440,"2020", C4:C1440,"Farmacia")</f>
        <v>5.4666666666666668</v>
      </c>
      <c r="BK17" s="13">
        <f>AVERAGEIFS( E4:E1440, A4:A1440,"2021", C4:C1440,"Farmacia")</f>
        <v>3.7</v>
      </c>
      <c r="BL17" s="37" t="e">
        <f>AVERAGEIFS( E4:E1440, A4:A1440,"2022", C4:C1440,"Farmacia")</f>
        <v>#DIV/0!</v>
      </c>
      <c r="BM17" s="13">
        <f>AVERAGE(AT18:AT21)</f>
        <v>82</v>
      </c>
      <c r="BN17" s="13">
        <f>AVERAGE(AW18:AW21)</f>
        <v>40.75</v>
      </c>
      <c r="BO17" s="13">
        <f>AVERAGE(AX18:AX21)</f>
        <v>11.5</v>
      </c>
      <c r="BP17" s="13">
        <f>AVERAGE(AY18:AY21)</f>
        <v>20.5</v>
      </c>
      <c r="BQ17" s="13">
        <f>AVERAGE(AZ18:AZ21)</f>
        <v>9.25</v>
      </c>
      <c r="BR17" s="13">
        <f>AVERAGE(BA18:BA21)</f>
        <v>0</v>
      </c>
    </row>
    <row r="18" spans="1:70" ht="15" customHeight="1">
      <c r="A18" s="24">
        <v>2018</v>
      </c>
      <c r="B18" s="24" t="s">
        <v>4</v>
      </c>
      <c r="C18" s="27" t="s">
        <v>23</v>
      </c>
      <c r="D18" s="24" t="s">
        <v>27</v>
      </c>
      <c r="E18" s="23">
        <v>5</v>
      </c>
      <c r="F18" s="24" t="s">
        <v>211</v>
      </c>
      <c r="G18" s="24" t="s">
        <v>225</v>
      </c>
      <c r="H18" s="23" t="s">
        <v>226</v>
      </c>
      <c r="I18" s="24" t="s">
        <v>225</v>
      </c>
      <c r="J18" s="23" t="s">
        <v>226</v>
      </c>
      <c r="K18" s="24" t="s">
        <v>226</v>
      </c>
      <c r="L18" s="23"/>
      <c r="M18" s="25">
        <v>43353</v>
      </c>
      <c r="N18" s="24">
        <v>2018</v>
      </c>
      <c r="O18" s="67" t="s">
        <v>22</v>
      </c>
      <c r="P18" s="68"/>
      <c r="Q18" s="68"/>
      <c r="R18" s="68"/>
      <c r="S18" s="68"/>
      <c r="T18" s="69"/>
      <c r="U18" s="5">
        <f>COUNTIFS(   D4:D1440,"Farmacia social")</f>
        <v>19</v>
      </c>
      <c r="V18" s="5">
        <f>COUNTIFS(   D4:D1440,"Farmacia social",F4:F1440,"Hombre")</f>
        <v>5</v>
      </c>
      <c r="W18" s="5">
        <f>COUNTIFS(   D4:D1440,"Farmacia social",F4:F1440,"Mujer")</f>
        <v>14</v>
      </c>
      <c r="X18" s="19">
        <f>COUNTIFS(   A4:A1440,"2018", D4:D1440,"Farmacia social")</f>
        <v>4</v>
      </c>
      <c r="Y18" s="5">
        <f>COUNTIFS(   A4:A1440,"2019", D4:D1440,"Farmacia social")</f>
        <v>4</v>
      </c>
      <c r="Z18" s="5">
        <f>COUNTIFS(   A4:A1440,"2020", D4:D1440,"Farmacia social")</f>
        <v>6</v>
      </c>
      <c r="AA18" s="5">
        <f>COUNTIFS(   A4:A1440,"2021", D4:D1440,"Farmacia social")</f>
        <v>5</v>
      </c>
      <c r="AB18" s="5">
        <f>COUNTIFS(  A4:A1440,"2022", D4:D1440,"Farmacia social")</f>
        <v>0</v>
      </c>
      <c r="AC18" s="19">
        <f>COUNTIFS(   N4:N1440,"2018", D4:D1440,"Farmacia social")</f>
        <v>2</v>
      </c>
      <c r="AD18" s="5">
        <f>COUNTIFS(   N4:N1440,"2019", D4:D1440,"Farmacia social")</f>
        <v>3</v>
      </c>
      <c r="AE18" s="5">
        <f>COUNTIFS(   N4:N1440,"2020", D4:D1440,"Farmacia social")</f>
        <v>3</v>
      </c>
      <c r="AF18" s="5">
        <f>COUNTIFS(   N4:N1440,"2021", D4:D1440,"Farmacia social")</f>
        <v>7</v>
      </c>
      <c r="AG18" s="5">
        <f>COUNTIFS(   N4:N1440,"2022", D4:D1440,"Farmacia social")</f>
        <v>4</v>
      </c>
      <c r="AH18" s="5">
        <f>COUNTIFS(   D4:D1440,"Farmacia social",G4:G1440,"Sí")</f>
        <v>0</v>
      </c>
      <c r="AI18" s="5">
        <f>COUNTIFS(   D4:D1440,"Farmacia social",G4:G1440,"No")</f>
        <v>19</v>
      </c>
      <c r="AJ18" s="5">
        <f>SUMIFS( E4:E1440, D4:D1440,"Farmacia social",G4:G1440,"Sí")</f>
        <v>0</v>
      </c>
      <c r="AK18" s="5">
        <f>SUMIFS( E4:E1440, D4:D1440,"Farmacia social",G4:G1440,"No")</f>
        <v>128</v>
      </c>
      <c r="AL18" s="5">
        <f>COUNTIFS(   D4:D1440,"Farmacia social",H4:H1440,"Sí")</f>
        <v>18</v>
      </c>
      <c r="AM18" s="5">
        <f>COUNTIFS(   D4:D1440,"Farmacia social",I4:I1440,"Sí")</f>
        <v>0</v>
      </c>
      <c r="AN18" s="5">
        <f>COUNTIFS(   D4:D1440,"Farmacia social",I4:I1440,"No")</f>
        <v>19</v>
      </c>
      <c r="AO18" s="5">
        <f>SUMIFS( E4:E1440, D4:D1440,"Farmacia social",I4:I1440,"Sí")</f>
        <v>0</v>
      </c>
      <c r="AP18" s="5">
        <f>SUMIFS( E4:E1440, D4:D1440,"Farmacia social",I4:I1440,"No")</f>
        <v>128</v>
      </c>
      <c r="AQ18" s="5">
        <f>COUNTIFS(   D4:D1440,"Farmacia social",J4:J1440,"Sí")</f>
        <v>19</v>
      </c>
      <c r="AR18" s="5">
        <f>COUNTIFS(   D4:D1440,"Farmacia social",K4:K1440,"Sí")</f>
        <v>5</v>
      </c>
      <c r="AS18" s="5">
        <f>COUNTIFS(   D4:D1440,"Farmacia social",L4:L1440,"Sí")</f>
        <v>0</v>
      </c>
      <c r="AT18" s="5">
        <f>SUMIFS( E4:E1440, D4:D1440,"Farmacia social")</f>
        <v>128</v>
      </c>
      <c r="AU18" s="5">
        <f>SUMIFS( E4:E1440, F4:F1440,"Hombre", D4:D1440,"Farmacia social")</f>
        <v>35</v>
      </c>
      <c r="AV18" s="5">
        <f>SUMIFS( E4:E1440, F4:F1440,"Mujer", D4:D1440,"Farmacia social")</f>
        <v>93</v>
      </c>
      <c r="AW18" s="19">
        <f>SUMIFS( E4:E1440, A4:A1440,"2018", D4:D1440,"Farmacia social")</f>
        <v>67</v>
      </c>
      <c r="AX18" s="5">
        <f>SUMIFS( E4:E1440, A4:A1440,"2019", D4:D1440,"Farmacia social")</f>
        <v>26</v>
      </c>
      <c r="AY18" s="5">
        <f>SUMIFS( E4:E1440, A4:A1440,"2020", D4:D1440,"Farmacia social")</f>
        <v>20</v>
      </c>
      <c r="AZ18" s="5">
        <f>SUMIFS( E4:E1440, A4:A1440,"2021", D4:D1440,"Farmacia social")</f>
        <v>15</v>
      </c>
      <c r="BA18" s="5">
        <f>SUMIFS( E4:E1440, A4:A1440,"2022", D4:D1440,"Farmacia social")</f>
        <v>0</v>
      </c>
      <c r="BB18" s="19">
        <f>SUMIFS( E4:E1440, N4:N1440,"2018", D4:D1440,"Farmacia social")</f>
        <v>32</v>
      </c>
      <c r="BC18" s="5">
        <f>SUMIFS( E4:E1440, N4:N1440,"2019", D4:D1440,"Farmacia social")</f>
        <v>44</v>
      </c>
      <c r="BD18" s="5">
        <f>SUMIFS( E4:E1440, N4:N1440,"2020", D4:D1440,"Farmacia social")</f>
        <v>17</v>
      </c>
      <c r="BE18" s="5">
        <f>SUMIFS( E4:E1440, N4:N1440,"2021", D4:D1440,"Farmacia social")</f>
        <v>27</v>
      </c>
      <c r="BF18" s="5">
        <f>SUMIFS( E4:E1440, N4:N1440,"2022", D4:D1440,"Farmacia social")</f>
        <v>8</v>
      </c>
      <c r="BG18" s="14">
        <f>AVERAGEIFS( E4:E1440, D4:D1440,"Farmacia social")</f>
        <v>7.1111111111111107</v>
      </c>
      <c r="BH18" s="14">
        <v>0</v>
      </c>
      <c r="BI18" s="14">
        <f>AVERAGEIFS( E4:E1440, A4:A1440,"2019", D4:D1440,"Farmacia social")</f>
        <v>6.5</v>
      </c>
      <c r="BJ18" s="14">
        <f>AVERAGEIFS( E4:E1440, A4:A1440,"2020", D4:D1440,"Farmacia social")</f>
        <v>3.3333333333333335</v>
      </c>
      <c r="BK18" s="14">
        <f>AVERAGEIFS( E4:E1440, A4:A1440,"2021", D4:D1440,"Farmacia social")</f>
        <v>3.75</v>
      </c>
      <c r="BL18" s="37" t="e">
        <f>AVERAGEIFS( E4:E1440, A4:A1440,"2022", D4:D1440,"Farmacia social")</f>
        <v>#DIV/0!</v>
      </c>
      <c r="BM18" s="14">
        <v>7.8461538461538458</v>
      </c>
      <c r="BN18" s="14">
        <v>0</v>
      </c>
      <c r="BO18" s="14">
        <v>5</v>
      </c>
      <c r="BP18" s="14">
        <v>7.333333333333333</v>
      </c>
      <c r="BQ18" s="14">
        <v>9.6</v>
      </c>
      <c r="BR18" s="14">
        <v>6.75</v>
      </c>
    </row>
    <row r="19" spans="1:70" ht="15" customHeight="1">
      <c r="A19" s="24">
        <v>2018</v>
      </c>
      <c r="B19" s="24" t="s">
        <v>78</v>
      </c>
      <c r="C19" s="24" t="s">
        <v>122</v>
      </c>
      <c r="D19" s="24" t="s">
        <v>127</v>
      </c>
      <c r="E19" s="23"/>
      <c r="F19" s="24" t="s">
        <v>207</v>
      </c>
      <c r="G19" s="24" t="s">
        <v>225</v>
      </c>
      <c r="H19" s="23" t="s">
        <v>226</v>
      </c>
      <c r="I19" s="24" t="s">
        <v>225</v>
      </c>
      <c r="J19" s="23" t="s">
        <v>226</v>
      </c>
      <c r="K19" s="24" t="s">
        <v>226</v>
      </c>
      <c r="L19" s="23"/>
      <c r="M19" s="25">
        <v>43354</v>
      </c>
      <c r="N19" s="24">
        <v>2018</v>
      </c>
      <c r="O19" s="67" t="s">
        <v>21</v>
      </c>
      <c r="P19" s="68"/>
      <c r="Q19" s="68"/>
      <c r="R19" s="68"/>
      <c r="S19" s="68"/>
      <c r="T19" s="69"/>
      <c r="U19" s="5">
        <f>COUNTIFS(   D4:D1440,"Nuevas dianas terapéuticas")</f>
        <v>12</v>
      </c>
      <c r="V19" s="5">
        <f>COUNTIFS(   D4:D1440,"Nuevas dianas terapéuticas",F4:F1440,"Hombre")</f>
        <v>4</v>
      </c>
      <c r="W19" s="5">
        <f>COUNTIFS(   D4:D1440,"Nuevas dianas terapéuticas",F4:F1440,"Mujer")</f>
        <v>8</v>
      </c>
      <c r="X19" s="19">
        <f>COUNTIFS(   A4:A1440,"2018", D4:D1440,"Nuevas dianas terapéuticas")</f>
        <v>4</v>
      </c>
      <c r="Y19" s="5">
        <f>COUNTIFS(   A4:A1440,"2019", D4:D1440,"Nuevas dianas terapéuticas")</f>
        <v>1</v>
      </c>
      <c r="Z19" s="5">
        <f>COUNTIFS(   A4:A1440,"2020", D4:D1440,"Nuevas dianas terapéuticas")</f>
        <v>3</v>
      </c>
      <c r="AA19" s="5">
        <f>COUNTIFS(   A4:A1440,"2021", D4:D1440,"Nuevas dianas terapéuticas")</f>
        <v>4</v>
      </c>
      <c r="AB19" s="5">
        <f>COUNTIFS(  A4:A1440,"2022", D4:D1440,"Nuevas dianas terapéuticas")</f>
        <v>0</v>
      </c>
      <c r="AC19" s="19">
        <f>COUNTIFS(   N4:N1440,"2018", D4:D1440,"Nuevas dianas terapéuticas")</f>
        <v>0</v>
      </c>
      <c r="AD19" s="5">
        <f>COUNTIFS(   N4:N1440,"2019", D4:D1440,"Nuevas dianas terapéuticas")</f>
        <v>4</v>
      </c>
      <c r="AE19" s="5">
        <f>COUNTIFS(   N4:N1440,"2020", D4:D1440,"Nuevas dianas terapéuticas")</f>
        <v>2</v>
      </c>
      <c r="AF19" s="5">
        <f>COUNTIFS(   N4:N1440,"2021", D4:D1440,"Nuevas dianas terapéuticas")</f>
        <v>3</v>
      </c>
      <c r="AG19" s="5">
        <f>COUNTIFS(   N4:N1440,"2022", D4:D1440,"Nuevas dianas terapéuticas")</f>
        <v>3</v>
      </c>
      <c r="AH19" s="5">
        <f>COUNTIFS(   D4:D1440,"Nuevas dianas terapéuticas",G4:G1440,"Sí")</f>
        <v>0</v>
      </c>
      <c r="AI19" s="5">
        <f>COUNTIFS(   D4:D1440,"Nuevas dianas terapéuticas",G4:G1440,"No")</f>
        <v>12</v>
      </c>
      <c r="AJ19" s="5">
        <f>SUMIFS( E4:E1440, D4:D1440,"Nuevas dianas terapéuticas",G4:G1440,"Sí")</f>
        <v>0</v>
      </c>
      <c r="AK19" s="5">
        <f>SUMIFS( E4:E1440, D4:D1440,"Nuevas dianas terapéuticas",G4:G1440,"No")</f>
        <v>67</v>
      </c>
      <c r="AL19" s="5">
        <f>COUNTIFS(   D4:D1440,"Nuevas dianas terapéuticas",H4:H1440,"Sí")</f>
        <v>12</v>
      </c>
      <c r="AM19" s="5">
        <f>COUNTIFS(   D4:D1440,"Nuevas dianas terapéuticas",I4:I1440,"Sí")</f>
        <v>4</v>
      </c>
      <c r="AN19" s="5">
        <f>COUNTIFS(   D4:D1440,"Nuevas dianas terapéuticas",I4:I1440,"No")</f>
        <v>8</v>
      </c>
      <c r="AO19" s="5">
        <f>SUMIFS( E4:E1440, D4:D1440,"Nuevas dianas terapéuticas",I4:I1440,"Sí")</f>
        <v>28</v>
      </c>
      <c r="AP19" s="5">
        <f>SUMIFS( E4:E1440, D4:D1440,"Nuevas dianas terapéuticas",I4:I1440,"No")</f>
        <v>39</v>
      </c>
      <c r="AQ19" s="5">
        <f>COUNTIFS(   D4:D1440,"Nuevas dianas terapéuticas",J4:J1440,"Sí")</f>
        <v>12</v>
      </c>
      <c r="AR19" s="5">
        <f>COUNTIFS(   D4:D1440,"Nuevas dianas terapéuticas",K4:K1440,"Sí")</f>
        <v>4</v>
      </c>
      <c r="AS19" s="5">
        <f>COUNTIFS(   D4:D1440,"Nuevas dianas terapéuticas",L4:L1440,"Sí")</f>
        <v>0</v>
      </c>
      <c r="AT19" s="5">
        <f>SUMIFS( E4:E1440, D4:D1440,"Nuevas dianas terapéuticas")</f>
        <v>67</v>
      </c>
      <c r="AU19" s="5">
        <f>SUMIFS( E4:E1440, F4:F1440,"Hombre", D4:D1440,"Nuevas dianas terapéuticas")</f>
        <v>45</v>
      </c>
      <c r="AV19" s="5">
        <f>SUMIFS( E4:E1440, F4:F1440,"Mujer", D4:D1440,"Nuevas dianas terapéuticas")</f>
        <v>22</v>
      </c>
      <c r="AW19" s="19">
        <f>SUMIFS( E4:E1440, A4:A1440,"2018", D4:D1440,"Nuevas dianas terapéuticas")</f>
        <v>42</v>
      </c>
      <c r="AX19" s="5">
        <f>SUMIFS( E4:E1440, A4:A1440,"2019", D4:D1440,"Nuevas dianas terapéuticas")</f>
        <v>8</v>
      </c>
      <c r="AY19" s="5">
        <f>SUMIFS( E4:E1440, A4:A1440,"2020", D4:D1440,"Nuevas dianas terapéuticas")</f>
        <v>9</v>
      </c>
      <c r="AZ19" s="5">
        <f>SUMIFS( E4:E1440, A4:A1440,"2021", D4:D1440,"Nuevas dianas terapéuticas")</f>
        <v>8</v>
      </c>
      <c r="BA19" s="5">
        <f>SUMIFS( E4:E1440, A4:A1440,"2022", D4:D1440,"Nuevas dianas terapéuticas")</f>
        <v>0</v>
      </c>
      <c r="BB19" s="19">
        <f>SUMIFS( E4:E1440, N4:N1440,"2018", D4:D1440,"Nuevas dianas terapéuticas")</f>
        <v>0</v>
      </c>
      <c r="BC19" s="5">
        <f>SUMIFS( E4:E1440, N4:N1440,"2019", D4:D1440,"Nuevas dianas terapéuticas")</f>
        <v>42</v>
      </c>
      <c r="BD19" s="5">
        <f>SUMIFS( E4:E1440, N4:N1440,"2020", D4:D1440,"Nuevas dianas terapéuticas")</f>
        <v>10</v>
      </c>
      <c r="BE19" s="5">
        <f>SUMIFS( E4:E1440, N4:N1440,"2021", D4:D1440,"Nuevas dianas terapéuticas")</f>
        <v>9</v>
      </c>
      <c r="BF19" s="5">
        <f>SUMIFS( E4:E1440, N4:N1440,"2022", D4:D1440,"Nuevas dianas terapéuticas")</f>
        <v>6</v>
      </c>
      <c r="BG19" s="14">
        <f>AVERAGEIFS( E4:E1440, D4:D1440,"Nuevas dianas terapéuticas")</f>
        <v>5.583333333333333</v>
      </c>
      <c r="BH19" s="14">
        <v>0</v>
      </c>
      <c r="BI19" s="14">
        <v>0</v>
      </c>
      <c r="BJ19" s="14">
        <v>0</v>
      </c>
      <c r="BK19" s="14">
        <f>AVERAGEIFS( E4:E1440, A4:A1440,"2021", D4:D1440,"Nuevas dianas terapéuticas")</f>
        <v>2</v>
      </c>
      <c r="BL19" s="37" t="e">
        <f>AVERAGEIFS( E4:E1440, A4:A1440,"2022", D4:D1440,"Nuevas dianas terapéuticas")</f>
        <v>#DIV/0!</v>
      </c>
      <c r="BM19" s="14">
        <v>11.333333333333334</v>
      </c>
      <c r="BN19" s="14">
        <v>0</v>
      </c>
      <c r="BO19" s="14">
        <v>0</v>
      </c>
      <c r="BP19" s="14">
        <v>0</v>
      </c>
      <c r="BQ19" s="14">
        <v>10</v>
      </c>
      <c r="BR19" s="14">
        <v>14</v>
      </c>
    </row>
    <row r="20" spans="1:70" ht="15" customHeight="1">
      <c r="A20" s="24">
        <v>2018</v>
      </c>
      <c r="B20" s="24" t="s">
        <v>78</v>
      </c>
      <c r="C20" s="24" t="s">
        <v>79</v>
      </c>
      <c r="D20" s="24" t="s">
        <v>51</v>
      </c>
      <c r="E20" s="23">
        <v>1</v>
      </c>
      <c r="F20" s="24" t="s">
        <v>207</v>
      </c>
      <c r="G20" s="24" t="s">
        <v>225</v>
      </c>
      <c r="H20" s="23" t="s">
        <v>226</v>
      </c>
      <c r="I20" s="24" t="s">
        <v>226</v>
      </c>
      <c r="J20" s="23" t="s">
        <v>226</v>
      </c>
      <c r="K20" s="24" t="s">
        <v>226</v>
      </c>
      <c r="L20" s="23"/>
      <c r="M20" s="25">
        <v>43354</v>
      </c>
      <c r="N20" s="24">
        <v>2018</v>
      </c>
      <c r="O20" s="67" t="s">
        <v>19</v>
      </c>
      <c r="P20" s="68"/>
      <c r="Q20" s="68"/>
      <c r="R20" s="68"/>
      <c r="S20" s="68"/>
      <c r="T20" s="69"/>
      <c r="U20" s="5">
        <f>COUNTIFS(   D4:D1440,"Química del medicamento")</f>
        <v>6</v>
      </c>
      <c r="V20" s="5">
        <f>COUNTIFS(   D4:D1440,"Química del medicamento",F4:F1440,"Hombre")</f>
        <v>1</v>
      </c>
      <c r="W20" s="5">
        <f>COUNTIFS(   D4:D1440,"Química del medicamento",F4:F1440,"Mujer")</f>
        <v>5</v>
      </c>
      <c r="X20" s="19">
        <f>COUNTIFS(   A4:A1440,"2018", D4:D1440,"Química del medicamento")</f>
        <v>3</v>
      </c>
      <c r="Y20" s="5">
        <f>COUNTIFS(   A4:A1440,"2019", D4:D1440,"Química del medicamento")</f>
        <v>1</v>
      </c>
      <c r="Z20" s="5">
        <f>COUNTIFS(   A4:A1440,"2020", D4:D1440,"Química del medicamento")</f>
        <v>2</v>
      </c>
      <c r="AA20" s="5">
        <f>COUNTIFS(   A4:A1440,"2021", D4:D1440,"Química del medicamento")</f>
        <v>0</v>
      </c>
      <c r="AB20" s="5">
        <f>COUNTIFS(  A4:A1440,"2022", D4:D1440,"Química del medicamento")</f>
        <v>0</v>
      </c>
      <c r="AC20" s="19">
        <f>COUNTIFS(   N4:N1440,"2018", D4:D1440,"Química del medicamento")</f>
        <v>0</v>
      </c>
      <c r="AD20" s="5">
        <f>COUNTIFS(   N4:N1440,"2019", D4:D1440,"Química del medicamento")</f>
        <v>3</v>
      </c>
      <c r="AE20" s="5">
        <f>COUNTIFS(   N4:N1440,"2020", D4:D1440,"Química del medicamento")</f>
        <v>2</v>
      </c>
      <c r="AF20" s="5">
        <f>COUNTIFS(   N4:N1440,"2021", D4:D1440,"Química del medicamento")</f>
        <v>1</v>
      </c>
      <c r="AG20" s="5">
        <f>COUNTIFS(   N4:N1440,"2022", D4:D1440,"Química del medicamento")</f>
        <v>0</v>
      </c>
      <c r="AH20" s="5">
        <f>COUNTIFS(   D4:D1440,"Química del medicamento",G4:G1440,"Sí")</f>
        <v>0</v>
      </c>
      <c r="AI20" s="5">
        <f>COUNTIFS(   D4:D1440,"Química del medicamento",G4:G1440,"No")</f>
        <v>6</v>
      </c>
      <c r="AJ20" s="5">
        <f>SUMIFS( E4:E1440, D4:D1440,"Química del medicamento",G4:G1440,"Sí")</f>
        <v>0</v>
      </c>
      <c r="AK20" s="5">
        <f>SUMIFS( E4:E1440, D4:D1440,"Química del medicamento",G4:G1440,"No")</f>
        <v>32</v>
      </c>
      <c r="AL20" s="5">
        <f>COUNTIFS(   D4:D1440,"Química del medicamento",H4:H1440,"Sí")</f>
        <v>5</v>
      </c>
      <c r="AM20" s="5">
        <f>COUNTIFS(   D4:D1440,"Química del medicamento",I4:I1440,"Sí")</f>
        <v>4</v>
      </c>
      <c r="AN20" s="5">
        <f>COUNTIFS(   D4:D1440,"Química del medicamento",I4:I1440,"No")</f>
        <v>2</v>
      </c>
      <c r="AO20" s="5">
        <f>SUMIFS( E4:E1440, D4:D1440,"Química del medicamento",I4:I1440,"Sí")</f>
        <v>23</v>
      </c>
      <c r="AP20" s="5">
        <f>SUMIFS( E4:E1440, D4:D1440,"Química del medicamento",I4:I1440,"No")</f>
        <v>9</v>
      </c>
      <c r="AQ20" s="5">
        <f>COUNTIFS(   D4:D1440,"Química del medicamento",J4:J1440,"Sí")</f>
        <v>6</v>
      </c>
      <c r="AR20" s="5">
        <f>COUNTIFS(   D4:D1440,"Química del medicamento",K4:K1440,"Sí")</f>
        <v>4</v>
      </c>
      <c r="AS20" s="5">
        <f>COUNTIFS(   D4:D1440,"Química del medicamento",L4:L1440,"Sí")</f>
        <v>0</v>
      </c>
      <c r="AT20" s="5">
        <f>SUMIFS( E4:E1440, D4:D1440,"Química del medicamento")</f>
        <v>32</v>
      </c>
      <c r="AU20" s="5">
        <f>SUMIFS( E4:E1440, F4:F1440,"Hombre", D4:D1440,"Química del medicamento")</f>
        <v>7</v>
      </c>
      <c r="AV20" s="5">
        <f>SUMIFS( E4:E1440, F4:F1440,"Mujer", D4:D1440,"Química del medicamento")</f>
        <v>25</v>
      </c>
      <c r="AW20" s="19">
        <f>SUMIFS( E4:E1440, A4:A1440,"2018", D4:D1440,"Química del medicamento")</f>
        <v>10</v>
      </c>
      <c r="AX20" s="5">
        <f>SUMIFS( E4:E1440, A4:A1440,"2019", D4:D1440,"Química del medicamento")</f>
        <v>11</v>
      </c>
      <c r="AY20" s="5">
        <f>SUMIFS( E4:E1440, A4:A1440,"2020", D4:D1440,"Química del medicamento")</f>
        <v>11</v>
      </c>
      <c r="AZ20" s="5">
        <f>SUMIFS( E4:E1440, A4:A1440,"2021", D4:D1440,"Química del medicamento")</f>
        <v>0</v>
      </c>
      <c r="BA20" s="5">
        <f>SUMIFS( E4:E1440, A4:A1440,"2022", D4:D1440,"Química del medicamento")</f>
        <v>0</v>
      </c>
      <c r="BB20" s="19">
        <f>SUMIFS( E4:E1440, N4:N1440,"2018", D4:D1440,"Química del medicamento")</f>
        <v>0</v>
      </c>
      <c r="BC20" s="5">
        <f>SUMIFS( E4:E1440, N4:N1440,"2019", D4:D1440,"Química del medicamento")</f>
        <v>10</v>
      </c>
      <c r="BD20" s="5">
        <f>SUMIFS( E4:E1440, N4:N1440,"2020", D4:D1440,"Química del medicamento")</f>
        <v>18</v>
      </c>
      <c r="BE20" s="5">
        <f>SUMIFS( E4:E1440, N4:N1440,"2021", D4:D1440,"Química del medicamento")</f>
        <v>4</v>
      </c>
      <c r="BF20" s="5">
        <f>SUMIFS( E4:E1440, N4:N1440,"2022", D4:D1440,"Química del medicamento")</f>
        <v>0</v>
      </c>
      <c r="BG20" s="14">
        <f>AVERAGEIFS( E4:E1440, D4:D1440,"Química del medicamento")</f>
        <v>6.4</v>
      </c>
      <c r="BH20" s="14">
        <v>0</v>
      </c>
      <c r="BI20" s="14">
        <v>0</v>
      </c>
      <c r="BJ20" s="14">
        <f>AVERAGEIFS( E4:E1440, A4:A1440,"2020", D4:D1440,"Química del medicamento")</f>
        <v>5.5</v>
      </c>
      <c r="BK20" s="14" t="e">
        <f>AVERAGEIFS( E4:E1440, A4:A1440,"2021", D4:D1440,"Química del medicamento")</f>
        <v>#DIV/0!</v>
      </c>
      <c r="BL20" s="37" t="e">
        <f>AVERAGEIFS( E4:E1440, A4:A1440,"2022", D4:D1440,"Química del medicamento")</f>
        <v>#DIV/0!</v>
      </c>
      <c r="BM20" s="14">
        <v>5</v>
      </c>
      <c r="BN20" s="14">
        <v>0</v>
      </c>
      <c r="BO20" s="14">
        <v>0</v>
      </c>
      <c r="BP20" s="14">
        <v>9</v>
      </c>
      <c r="BQ20" s="14">
        <v>3.5</v>
      </c>
      <c r="BR20" s="14">
        <v>7</v>
      </c>
    </row>
    <row r="21" spans="1:70" ht="15" customHeight="1">
      <c r="A21" s="24">
        <v>2018</v>
      </c>
      <c r="B21" s="24" t="s">
        <v>136</v>
      </c>
      <c r="C21" s="24" t="s">
        <v>137</v>
      </c>
      <c r="D21" s="24" t="s">
        <v>142</v>
      </c>
      <c r="E21" s="23">
        <v>11</v>
      </c>
      <c r="F21" s="24" t="s">
        <v>211</v>
      </c>
      <c r="G21" s="24" t="s">
        <v>225</v>
      </c>
      <c r="H21" s="23" t="s">
        <v>226</v>
      </c>
      <c r="I21" s="24" t="s">
        <v>225</v>
      </c>
      <c r="J21" s="23" t="s">
        <v>226</v>
      </c>
      <c r="K21" s="24" t="s">
        <v>226</v>
      </c>
      <c r="L21" s="23"/>
      <c r="M21" s="25">
        <v>43354</v>
      </c>
      <c r="N21" s="24">
        <v>2018</v>
      </c>
      <c r="O21" s="67" t="s">
        <v>20</v>
      </c>
      <c r="P21" s="68"/>
      <c r="Q21" s="68"/>
      <c r="R21" s="68"/>
      <c r="S21" s="68"/>
      <c r="T21" s="69"/>
      <c r="U21" s="5">
        <f>COUNTIFS(   D4:D1440,"Tecnología del medicamento")</f>
        <v>10</v>
      </c>
      <c r="V21" s="5">
        <f>COUNTIFS(   D4:D1440,"Tecnología del medicamento",F4:F1440,"Hombre")</f>
        <v>4</v>
      </c>
      <c r="W21" s="5">
        <f>COUNTIFS(   D4:D1440,"Tecnología del medicamento",F4:F1440,"Mujer")</f>
        <v>6</v>
      </c>
      <c r="X21" s="19">
        <f>COUNTIFS(   A4:A1440,"2018", D4:D1440,"Tecnología del medicamento")</f>
        <v>3</v>
      </c>
      <c r="Y21" s="5">
        <f>COUNTIFS(   A4:A1440,"2019", D4:D1440,"Tecnología del medicamento")</f>
        <v>1</v>
      </c>
      <c r="Z21" s="5">
        <f>COUNTIFS(   A4:A1440,"2020", D4:D1440,"Tecnología del medicamento")</f>
        <v>4</v>
      </c>
      <c r="AA21" s="5">
        <f>COUNTIFS(   A4:A1440,"2021", D4:D1440,"Tecnología del medicamento")</f>
        <v>2</v>
      </c>
      <c r="AB21" s="5">
        <f>COUNTIFS(  A4:A1440,"2022", D4:D1440,"Tecnología del medicamento")</f>
        <v>0</v>
      </c>
      <c r="AC21" s="19">
        <f>COUNTIFS(   N4:N1440,"2018", D4:D1440,"Tecnología del medicamento")</f>
        <v>2</v>
      </c>
      <c r="AD21" s="5">
        <f>COUNTIFS(   N4:N1440,"2019", D4:D1440,"Tecnología del medicamento")</f>
        <v>1</v>
      </c>
      <c r="AE21" s="5">
        <f>COUNTIFS(   N4:N1440,"2020", D4:D1440,"Tecnología del medicamento")</f>
        <v>3</v>
      </c>
      <c r="AF21" s="5">
        <f>COUNTIFS(   N4:N1440,"2021", D4:D1440,"Tecnología del medicamento")</f>
        <v>3</v>
      </c>
      <c r="AG21" s="5">
        <f>COUNTIFS(   N4:N1440,"2022", D4:D1440,"Tecnología del medicamento")</f>
        <v>1</v>
      </c>
      <c r="AH21" s="5">
        <f>COUNTIFS(   D4:D1440,"Tecnología del medicamento",G4:G1440,"Sí")</f>
        <v>1</v>
      </c>
      <c r="AI21" s="5">
        <f>COUNTIFS(   D4:D1440,"Tecnología del medicamento",G4:G1440,"No")</f>
        <v>9</v>
      </c>
      <c r="AJ21" s="5">
        <f>SUMIFS( E4:E1440, D4:D1440,"Tecnología del medicamento",G4:G1440,"Sí")</f>
        <v>1</v>
      </c>
      <c r="AK21" s="5">
        <f>SUMIFS( E4:E1440, D4:D1440,"Tecnología del medicamento",G4:G1440,"No")</f>
        <v>100</v>
      </c>
      <c r="AL21" s="5">
        <f>COUNTIFS(   D4:D1440,"Tecnología del medicamento",H4:H1440,"Sí")</f>
        <v>9</v>
      </c>
      <c r="AM21" s="5">
        <f>COUNTIFS(   D4:D1440,"Tecnología del medicamento",I4:I1440,"Sí")</f>
        <v>4</v>
      </c>
      <c r="AN21" s="5">
        <f>COUNTIFS(   D4:D1440,"Tecnología del medicamento",I4:I1440,"No")</f>
        <v>6</v>
      </c>
      <c r="AO21" s="5">
        <f>SUMIFS( E4:E1440, D4:D1440,"Tecnología del medicamento",I4:I1440,"Sí")</f>
        <v>76</v>
      </c>
      <c r="AP21" s="5">
        <f>SUMIFS( E4:E1440, D4:D1440,"Tecnología del medicamento",I4:I1440,"No")</f>
        <v>25</v>
      </c>
      <c r="AQ21" s="5">
        <f>COUNTIFS(   D4:D1440,"Tecnología del medicamento",J4:J1440,"Sí")</f>
        <v>10</v>
      </c>
      <c r="AR21" s="5">
        <f>COUNTIFS(   D4:D1440,"Tecnología del medicamento",K4:K1440,"Sí")</f>
        <v>3</v>
      </c>
      <c r="AS21" s="5">
        <f>COUNTIFS(   D4:D1440,"Tecnología del medicamento",L4:L1440,"Sí")</f>
        <v>0</v>
      </c>
      <c r="AT21" s="5">
        <f>SUMIFS( E4:E1440, D4:D1440,"Tecnología del medicamento")</f>
        <v>101</v>
      </c>
      <c r="AU21" s="5">
        <f>SUMIFS( E4:E1440, F4:F1440,"Hombre", D4:D1440,"Tecnología del medicamento")</f>
        <v>23</v>
      </c>
      <c r="AV21" s="5">
        <f>SUMIFS( E4:E1440, F4:F1440,"Mujer", D4:D1440,"Tecnología del medicamento")</f>
        <v>78</v>
      </c>
      <c r="AW21" s="19">
        <f>SUMIFS( E4:E1440, A4:A1440,"2018", D4:D1440,"Tecnología del medicamento")</f>
        <v>44</v>
      </c>
      <c r="AX21" s="5">
        <f>SUMIFS( E4:E1440, A4:A1440,"2019", D4:D1440,"Tecnología del medicamento")</f>
        <v>1</v>
      </c>
      <c r="AY21" s="5">
        <f>SUMIFS( E4:E1440, A4:A1440,"2020", D4:D1440,"Tecnología del medicamento")</f>
        <v>42</v>
      </c>
      <c r="AZ21" s="5">
        <f>SUMIFS( E4:E1440, A4:A1440,"2021", D4:D1440,"Tecnología del medicamento")</f>
        <v>14</v>
      </c>
      <c r="BA21" s="5">
        <f>SUMIFS( E4:E1440, A4:A1440,"2022", D4:D1440,"Tecnología del medicamento")</f>
        <v>0</v>
      </c>
      <c r="BB21" s="19">
        <f>SUMIFS( E4:E1440, N4:N1440,"2018", D4:D1440,"Tecnología del medicamento")</f>
        <v>36</v>
      </c>
      <c r="BC21" s="5">
        <f>SUMIFS( E4:E1440, N4:N1440,"2019", D4:D1440,"Tecnología del medicamento")</f>
        <v>8</v>
      </c>
      <c r="BD21" s="5">
        <f>SUMIFS( E4:E1440, N4:N1440,"2020", D4:D1440,"Tecnología del medicamento")</f>
        <v>39</v>
      </c>
      <c r="BE21" s="5">
        <f>SUMIFS( E4:E1440, N4:N1440,"2021", D4:D1440,"Tecnología del medicamento")</f>
        <v>12</v>
      </c>
      <c r="BF21" s="5">
        <f>SUMIFS( E4:E1440, N4:N1440,"2022", D4:D1440,"Tecnología del medicamento")</f>
        <v>6</v>
      </c>
      <c r="BG21" s="14">
        <f>AVERAGEIFS( E4:E1440, D4:D1440,"Tecnología del medicamento")</f>
        <v>11.222222222222221</v>
      </c>
      <c r="BH21" s="14">
        <v>0</v>
      </c>
      <c r="BI21" s="14">
        <f>AVERAGEIFS( E4:E1440, A4:A1440,"2019", D4:D1440,"Tecnología del medicamento")</f>
        <v>1</v>
      </c>
      <c r="BJ21" s="14">
        <v>0</v>
      </c>
      <c r="BK21" s="14">
        <v>0</v>
      </c>
      <c r="BL21" s="37" t="e">
        <f>AVERAGEIFS( E4:E1440, A4:A1440,"2022", D4:D1440,"Tecnología del medicamento")</f>
        <v>#DIV/0!</v>
      </c>
      <c r="BM21" s="14">
        <v>3.2</v>
      </c>
      <c r="BN21" s="14">
        <v>0</v>
      </c>
      <c r="BO21" s="14">
        <v>5</v>
      </c>
      <c r="BP21" s="14">
        <v>0</v>
      </c>
      <c r="BQ21" s="14">
        <v>0</v>
      </c>
      <c r="BR21" s="14">
        <v>2.75</v>
      </c>
    </row>
    <row r="22" spans="1:70" ht="15" customHeight="1">
      <c r="A22" s="24">
        <v>2018</v>
      </c>
      <c r="B22" s="24" t="s">
        <v>136</v>
      </c>
      <c r="C22" s="24" t="s">
        <v>137</v>
      </c>
      <c r="D22" s="24" t="s">
        <v>140</v>
      </c>
      <c r="E22" s="23">
        <v>17</v>
      </c>
      <c r="F22" s="24" t="s">
        <v>207</v>
      </c>
      <c r="G22" s="24" t="s">
        <v>225</v>
      </c>
      <c r="H22" s="23" t="s">
        <v>226</v>
      </c>
      <c r="I22" s="24" t="s">
        <v>225</v>
      </c>
      <c r="J22" s="23" t="s">
        <v>226</v>
      </c>
      <c r="K22" s="24" t="s">
        <v>226</v>
      </c>
      <c r="L22" s="23"/>
      <c r="M22" s="26" t="s">
        <v>251</v>
      </c>
      <c r="N22" s="24">
        <v>2018</v>
      </c>
      <c r="O22" s="86" t="s">
        <v>46</v>
      </c>
      <c r="P22" s="87"/>
      <c r="Q22" s="87"/>
      <c r="R22" s="87"/>
      <c r="S22" s="87"/>
      <c r="T22" s="88"/>
      <c r="U22" s="4">
        <f>COUNTIFS(   C4:C1440,"Medicina Clínica y Salud Pública")</f>
        <v>134</v>
      </c>
      <c r="V22" s="4">
        <f>COUNTIFS(   C4:C1440,"Medicina Clínica y Salud Pública",F4:F1440,"Hombre")</f>
        <v>52</v>
      </c>
      <c r="W22" s="4">
        <f>COUNTIFS(   C4:C1440,"Medicina Clínica y Salud Pública",F4:F1440,"Mujer")</f>
        <v>82</v>
      </c>
      <c r="X22" s="18">
        <f>COUNTIFS(   A4:A1440,"2018", C4:C1440,"Medicina Clínica y Salud Pública")</f>
        <v>29</v>
      </c>
      <c r="Y22" s="4">
        <f>COUNTIFS(   A4:A1440,"2019", C4:C1440,"Medicina Clínica y Salud Pública")</f>
        <v>28</v>
      </c>
      <c r="Z22" s="4">
        <f>COUNTIFS(   A4:A1440,"2020", C4:C1440,"Medicina Clínica y Salud Pública")</f>
        <v>46</v>
      </c>
      <c r="AA22" s="4">
        <f>COUNTIFS(   A4:A1440,"2021", C4:C1440,"Medicina Clínica y Salud Pública")</f>
        <v>31</v>
      </c>
      <c r="AB22" s="4">
        <f>COUNTIFS(   A4:A1440,"2022", C4:C1440,"Medicina Clínica y Salud Pública")</f>
        <v>0</v>
      </c>
      <c r="AC22" s="18">
        <f>COUNTIFS(   N4:N1440,"2018", C4:C1440,"Medicina Clínica y Salud Pública")</f>
        <v>9</v>
      </c>
      <c r="AD22" s="4">
        <f>COUNTIFS(   N4:N1440,"2019", C4:C1440,"Medicina Clínica y Salud Pública")</f>
        <v>31</v>
      </c>
      <c r="AE22" s="4">
        <f>COUNTIFS(   N4:N1440,"2020", C4:C1440,"Medicina Clínica y Salud Pública")</f>
        <v>31</v>
      </c>
      <c r="AF22" s="4">
        <f>COUNTIFS(   N4:N1440,"2021", C4:C1440,"Medicina Clínica y Salud Pública")</f>
        <v>45</v>
      </c>
      <c r="AG22" s="4">
        <f>COUNTIFS(   N4:N1440,"2022", C4:C1440,"Medicina Clínica y Salud Pública")</f>
        <v>18</v>
      </c>
      <c r="AH22" s="4">
        <f>COUNTIFS(   C4:C1440,"Medicina Clínica y Salud Pública",G4:G1440,"Sí")</f>
        <v>4</v>
      </c>
      <c r="AI22" s="4">
        <f>COUNTIFS(   C4:C1440,"Medicina Clínica y Salud Pública",G4:G1440,"No")</f>
        <v>130</v>
      </c>
      <c r="AJ22" s="4">
        <f>SUMIFS( E4:E1440, C4:C1440,"Medicina Clínica y Salud Pública",G4:G1440,"Sí")</f>
        <v>42</v>
      </c>
      <c r="AK22" s="4">
        <f>SUMIFS( E4:E1440, C4:C1440,"Medicina Clínica y Salud Pública",G4:G1440,"No")</f>
        <v>1282</v>
      </c>
      <c r="AL22" s="4">
        <f>COUNTIFS(   C4:C1440,"Medicina Clínica y Salud Pública",H4:H1440,"Sí")</f>
        <v>121</v>
      </c>
      <c r="AM22" s="4">
        <f>COUNTIFS(   C4:C1440,"Medicina Clínica y Salud Pública",I4:I1440,"Sí")</f>
        <v>38</v>
      </c>
      <c r="AN22" s="4">
        <f>COUNTIFS(   C4:C1440,"Medicina Clínica y Salud Pública",I4:I1440,"No")</f>
        <v>96</v>
      </c>
      <c r="AO22" s="4">
        <f>SUMIFS( E4:E1440, C4:C1440,"Medicina Clínica y Salud Pública",I4:I1440,"Sí")</f>
        <v>546</v>
      </c>
      <c r="AP22" s="4">
        <f>SUMIFS( E4:E1440, C4:C1440,"Medicina Clínica y Salud Pública",I4:I1440,"No")</f>
        <v>778</v>
      </c>
      <c r="AQ22" s="4">
        <f>COUNTIFS(   C4:C1440,"Medicina Clínica y Salud Pública",J4:J1440,"Sí")</f>
        <v>134</v>
      </c>
      <c r="AR22" s="4">
        <f>COUNTIFS(   C4:C1440,"Medicina Clínica y Salud Pública",K4:K1440,"Sí")</f>
        <v>41</v>
      </c>
      <c r="AS22" s="4">
        <f>COUNTIFS(   C4:C1440,"Medicina Clínica y Salud Pública",L4:L1440,"Sí")</f>
        <v>0</v>
      </c>
      <c r="AT22" s="4">
        <f>SUMIFS( E4:E1440, C4:C1440,"Medicina Clínica y Salud Pública")</f>
        <v>1324</v>
      </c>
      <c r="AU22" s="4">
        <f>SUMIFS( E4:E1440, F4:F1440,"Hombre", C4:C1440,"Medicina Clínica y Salud Pública")</f>
        <v>623</v>
      </c>
      <c r="AV22" s="4">
        <f>SUMIFS( E4:E1440, F4:F1440,"Mujer", C4:C1440,"Medicina Clínica y Salud Pública")</f>
        <v>701</v>
      </c>
      <c r="AW22" s="18">
        <f>SUMIFS( E4:E1440, A4:A1440,"2018", C4:C1440,"Medicina Clínica y Salud Pública")</f>
        <v>367</v>
      </c>
      <c r="AX22" s="4">
        <f>SUMIFS( E4:E1440, A4:A1440,"2019", C4:C1440,"Medicina Clínica y Salud Pública")</f>
        <v>200</v>
      </c>
      <c r="AY22" s="4">
        <f>SUMIFS( E4:E1440, A4:A1440,"2020", C4:C1440,"Medicina Clínica y Salud Pública")</f>
        <v>373</v>
      </c>
      <c r="AZ22" s="4">
        <f>SUMIFS( E4:E1440, A4:A1440,"2021", C4:C1440,"Medicina Clínica y Salud Pública")</f>
        <v>384</v>
      </c>
      <c r="BA22" s="4">
        <f>SUMIFS( E4:E1440, A4:A1440,"2022", C4:C1440,"Medicina Clínica y Salud Pública")</f>
        <v>0</v>
      </c>
      <c r="BB22" s="18">
        <f>SUMIFS( E4:E1440, N4:N1440,"2018", C4:C1440,"Medicina Clínica y Salud Pública")</f>
        <v>71</v>
      </c>
      <c r="BC22" s="4">
        <f>SUMIFS( E4:E1440, N4:N1440,"2019", C4:C1440,"Medicina Clínica y Salud Pública")</f>
        <v>402</v>
      </c>
      <c r="BD22" s="4">
        <f>SUMIFS( E4:E1440, N4:N1440,"2020", C4:C1440,"Medicina Clínica y Salud Pública")</f>
        <v>233</v>
      </c>
      <c r="BE22" s="4">
        <f>SUMIFS( E4:E1440, N4:N1440,"2021", C4:C1440,"Medicina Clínica y Salud Pública")</f>
        <v>324</v>
      </c>
      <c r="BF22" s="4">
        <f>SUMIFS( E4:E1440, N4:N1440,"2022", C4:C1440,"Medicina Clínica y Salud Pública")</f>
        <v>294</v>
      </c>
      <c r="BG22" s="13">
        <f>AVERAGEIFS( E4:E1440, C4:C1440,"Medicina Clínica y Salud Pública")</f>
        <v>11.033333333333333</v>
      </c>
      <c r="BH22" s="13">
        <v>0</v>
      </c>
      <c r="BI22" s="13">
        <f>AVERAGEIFS( E4:E1440, A4:A1440,"2019", C4:C1440,"Medicina Clínica y Salud Pública")</f>
        <v>8.3333333333333339</v>
      </c>
      <c r="BJ22" s="13">
        <f>AVERAGEIFS( E4:E1440, A4:A1440,"2020", C4:C1440,"Medicina Clínica y Salud Pública")</f>
        <v>8.8809523809523814</v>
      </c>
      <c r="BK22" s="13">
        <f>AVERAGEIFS( E4:E1440, A4:A1440,"2021", C4:C1440,"Medicina Clínica y Salud Pública")</f>
        <v>12.8</v>
      </c>
      <c r="BL22" s="37" t="e">
        <f>AVERAGEIFS( E4:E1440, A4:A1440,"2022", C4:C1440,"Medicina Clínica y Salud Pública")</f>
        <v>#DIV/0!</v>
      </c>
      <c r="BM22" s="13">
        <f>AVERAGE(AT23:AT30)</f>
        <v>165</v>
      </c>
      <c r="BN22" s="13">
        <f>AVERAGE(AW23:AW30)</f>
        <v>45.375</v>
      </c>
      <c r="BO22" s="13">
        <f>AVERAGE(AX23:AX30)</f>
        <v>25</v>
      </c>
      <c r="BP22" s="13">
        <f>AVERAGE(AY23:AY30)</f>
        <v>46.625</v>
      </c>
      <c r="BQ22" s="13">
        <f>AVERAGE(AZ23:AZ30)</f>
        <v>48</v>
      </c>
      <c r="BR22" s="13">
        <f>AVERAGE(BA23:BA30)</f>
        <v>0</v>
      </c>
    </row>
    <row r="23" spans="1:70" ht="15" customHeight="1">
      <c r="A23" s="24">
        <v>2018</v>
      </c>
      <c r="B23" s="24" t="s">
        <v>4</v>
      </c>
      <c r="C23" s="24" t="s">
        <v>14</v>
      </c>
      <c r="D23" s="24"/>
      <c r="E23" s="23">
        <v>5</v>
      </c>
      <c r="F23" s="24" t="s">
        <v>211</v>
      </c>
      <c r="G23" s="24" t="s">
        <v>225</v>
      </c>
      <c r="H23" s="23" t="s">
        <v>226</v>
      </c>
      <c r="I23" s="24" t="s">
        <v>225</v>
      </c>
      <c r="J23" s="23" t="s">
        <v>226</v>
      </c>
      <c r="K23" s="24" t="s">
        <v>226</v>
      </c>
      <c r="L23" s="23"/>
      <c r="M23" s="26" t="s">
        <v>252</v>
      </c>
      <c r="N23" s="24">
        <v>2018</v>
      </c>
      <c r="O23" s="67" t="s">
        <v>30</v>
      </c>
      <c r="P23" s="68"/>
      <c r="Q23" s="68"/>
      <c r="R23" s="68"/>
      <c r="S23" s="68"/>
      <c r="T23" s="69"/>
      <c r="U23" s="5">
        <f>COUNTIFS(   D4:D1440,"Agentes infecciosos relacionados con los procesos clínicos")</f>
        <v>9</v>
      </c>
      <c r="V23" s="5">
        <f>COUNTIFS(   D4:D1440,"Agentes infecciosos relacionados con los procesos clínicos",F4:F1440,"Hombre")</f>
        <v>3</v>
      </c>
      <c r="W23" s="5">
        <f>COUNTIFS(   D4:D1440,"Agentes infecciosos relacionados con los procesos clínicos",F4:F1440,"Mujer")</f>
        <v>6</v>
      </c>
      <c r="X23" s="19">
        <f>COUNTIFS(   A4:A1440,"2018", D4:D1440,"Agentes infecciosos relacionados con los procesos clínicos")</f>
        <v>2</v>
      </c>
      <c r="Y23" s="5">
        <f>COUNTIFS(   A4:A1440,"2019", D4:D1440,"Agentes infecciosos relacionados con los procesos clínicos")</f>
        <v>2</v>
      </c>
      <c r="Z23" s="5">
        <f>COUNTIFS(   A4:A1440,"2020", D4:D1440,"Agentes infecciosos relacionados con los procesos clínicos")</f>
        <v>3</v>
      </c>
      <c r="AA23" s="5">
        <f>COUNTIFS(   A4:A1440,"2021", D4:D1440,"Agentes infecciosos relacionados con los procesos clínicos")</f>
        <v>2</v>
      </c>
      <c r="AB23" s="5">
        <f>COUNTIFS(  A4:A1440,"2022", D4:D1440,"Agentes infecciosos relacionados con los procesos clínicos")</f>
        <v>0</v>
      </c>
      <c r="AC23" s="19">
        <f>COUNTIFS(   N4:N1440,"2018", D4:D1440,"Agentes infecciosos relacionados con los procesos clínicos")</f>
        <v>1</v>
      </c>
      <c r="AD23" s="5">
        <f>COUNTIFS(   N4:N1440,"2019", D4:D1440,"Agentes infecciosos relacionados con los procesos clínicos")</f>
        <v>2</v>
      </c>
      <c r="AE23" s="5">
        <f>COUNTIFS(   N4:N1440,"2020", D4:D1440,"Agentes infecciosos relacionados con los procesos clínicos")</f>
        <v>2</v>
      </c>
      <c r="AF23" s="5">
        <f>COUNTIFS(   N4:N1440,"2021", D4:D1440,"Agentes infecciosos relacionados con los procesos clínicos")</f>
        <v>4</v>
      </c>
      <c r="AG23" s="5">
        <f>COUNTIFS(   N4:N1440,"2022", D4:D1440,"Agentes infecciosos relacionados con los procesos clínicos")</f>
        <v>0</v>
      </c>
      <c r="AH23" s="5">
        <f>COUNTIFS(   D4:D1440,"Agentes infecciosos relacionados con los procesos clínicos",G4:G1440,"Sí")</f>
        <v>0</v>
      </c>
      <c r="AI23" s="5">
        <f>COUNTIFS(   D4:D1440,"Agentes infecciosos relacionados con los procesos clínicos",G4:G1440,"No")</f>
        <v>9</v>
      </c>
      <c r="AJ23" s="5">
        <f>SUMIFS( E4:E1440, D4:D1440,"Agentes infecciosos relacionados con los procesos clínicos",G4:G1440,"Sí")</f>
        <v>0</v>
      </c>
      <c r="AK23" s="5">
        <f>SUMIFS( E4:E1440, D4:D1440,"Agentes infecciosos relacionados con los procesos clínicos",G4:G1440,"No")</f>
        <v>75</v>
      </c>
      <c r="AL23" s="5">
        <f>COUNTIFS(   D4:D1440,"Agentes infecciosos relacionados con los procesos clínicos",H4:H1440,"Sí")</f>
        <v>9</v>
      </c>
      <c r="AM23" s="5">
        <f>COUNTIFS(   D4:D1440,"Agentes infecciosos relacionados con los procesos clínicos",I4:I1440,"Sí")</f>
        <v>3</v>
      </c>
      <c r="AN23" s="5">
        <f>COUNTIFS(   D4:D1440,"Agentes infecciosos relacionados con los procesos clínicos",I4:I1440,"No")</f>
        <v>6</v>
      </c>
      <c r="AO23" s="5">
        <f>SUMIFS( E4:E1440, D4:D1440,"Agentes infecciosos relacionados con los procesos clínicos",I4:I1440,"Sí")</f>
        <v>21</v>
      </c>
      <c r="AP23" s="5">
        <f>SUMIFS( E4:E1440, D4:D1440,"Agentes infecciosos relacionados con los procesos clínicos",I4:I1440,"No")</f>
        <v>54</v>
      </c>
      <c r="AQ23" s="5">
        <f>COUNTIFS(   D4:D1440,"Agentes infecciosos relacionados con los procesos clínicos",J4:J1440,"Sí")</f>
        <v>9</v>
      </c>
      <c r="AR23" s="5">
        <f>COUNTIFS(   D4:D1440,"Agentes infecciosos relacionados con los procesos clínicos",K4:K1440,"Sí")</f>
        <v>3</v>
      </c>
      <c r="AS23" s="5">
        <f>COUNTIFS(   D4:D1440,"Agentes infecciosos relacionados con los procesos clínicos",L4:L1440,"Sí")</f>
        <v>0</v>
      </c>
      <c r="AT23" s="5">
        <f>SUMIFS( E4:E1440, D4:D1440,"Agentes infecciosos relacionados con los procesos clínicos")</f>
        <v>75</v>
      </c>
      <c r="AU23" s="5">
        <f>SUMIFS( E4:E1440, F4:F1440,"Hombre", D4:D1440,"Agentes infecciosos relacionados con los procesos clínicos")</f>
        <v>23</v>
      </c>
      <c r="AV23" s="5">
        <f>SUMIFS( E4:E1440, F4:F1440,"Mujer", D4:D1440,"Agentes infecciosos relacionados con los procesos clínicos")</f>
        <v>52</v>
      </c>
      <c r="AW23" s="19">
        <f>SUMIFS( E4:E1440, A4:A1440,"2018", D4:D1440,"Agentes infecciosos relacionados con los procesos clínicos")</f>
        <v>32</v>
      </c>
      <c r="AX23" s="5">
        <f>SUMIFS( E4:E1440, A4:A1440,"2019", D4:D1440,"Agentes infecciosos relacionados con los procesos clínicos")</f>
        <v>20</v>
      </c>
      <c r="AY23" s="5">
        <f>SUMIFS( E4:E1440, A4:A1440,"2020", D4:D1440,"Agentes infecciosos relacionados con los procesos clínicos")</f>
        <v>14</v>
      </c>
      <c r="AZ23" s="5">
        <f>SUMIFS( E4:E1440, A4:A1440,"2021", D4:D1440,"Agentes infecciosos relacionados con los procesos clínicos")</f>
        <v>9</v>
      </c>
      <c r="BA23" s="5">
        <f>SUMIFS( E4:E1440, A4:A1440,"2022", D4:D1440,"Agentes infecciosos relacionados con los procesos clínicos")</f>
        <v>0</v>
      </c>
      <c r="BB23" s="19">
        <f>SUMIFS( E4:E1440, N4:N1440,"2018", D4:D1440,"Agentes infecciosos relacionados con los procesos clínicos")</f>
        <v>7</v>
      </c>
      <c r="BC23" s="5">
        <f>SUMIFS( E4:E1440, N4:N1440,"2019", D4:D1440,"Agentes infecciosos relacionados con los procesos clínicos")</f>
        <v>33</v>
      </c>
      <c r="BD23" s="5">
        <f>SUMIFS( E4:E1440, N4:N1440,"2020", D4:D1440,"Agentes infecciosos relacionados con los procesos clínicos")</f>
        <v>20</v>
      </c>
      <c r="BE23" s="5">
        <f>SUMIFS( E4:E1440, N4:N1440,"2021", D4:D1440,"Agentes infecciosos relacionados con los procesos clínicos")</f>
        <v>15</v>
      </c>
      <c r="BF23" s="5">
        <f>SUMIFS( E4:E1440, N4:N1440,"2022", D4:D1440,"Agentes infecciosos relacionados con los procesos clínicos")</f>
        <v>0</v>
      </c>
      <c r="BG23" s="14">
        <f>AVERAGEIFS( E4:E1440, D4:D1440,"Agentes infecciosos relacionados con los procesos clínicos")</f>
        <v>8.3333333333333339</v>
      </c>
      <c r="BH23" s="14">
        <v>0</v>
      </c>
      <c r="BI23" s="14">
        <f>AVERAGEIFS( E4:E1440, A4:A1440,"2019", D4:D1440,"Agentes infecciosos relacionados con los procesos clínicos")</f>
        <v>10</v>
      </c>
      <c r="BJ23" s="14">
        <v>0</v>
      </c>
      <c r="BK23" s="14">
        <v>0</v>
      </c>
      <c r="BL23" s="37" t="e">
        <f>AVERAGEIFS( E4:E1440, A4:A1440,"2022", D4:D1440,"Agentes infecciosos relacionados con los procesos clínicos")</f>
        <v>#DIV/0!</v>
      </c>
      <c r="BM23" s="14">
        <v>10.5</v>
      </c>
      <c r="BN23" s="14">
        <v>0</v>
      </c>
      <c r="BO23" s="14">
        <v>9</v>
      </c>
      <c r="BP23" s="14">
        <v>0</v>
      </c>
      <c r="BQ23" s="14">
        <v>0</v>
      </c>
      <c r="BR23" s="14">
        <v>12</v>
      </c>
    </row>
    <row r="24" spans="1:70" ht="15" customHeight="1">
      <c r="A24" s="24">
        <v>2018</v>
      </c>
      <c r="B24" s="24" t="s">
        <v>78</v>
      </c>
      <c r="C24" s="24" t="s">
        <v>79</v>
      </c>
      <c r="D24" s="24" t="s">
        <v>51</v>
      </c>
      <c r="E24" s="23">
        <v>3</v>
      </c>
      <c r="F24" s="24" t="s">
        <v>207</v>
      </c>
      <c r="G24" s="24" t="s">
        <v>225</v>
      </c>
      <c r="H24" s="23" t="s">
        <v>226</v>
      </c>
      <c r="I24" s="24" t="s">
        <v>225</v>
      </c>
      <c r="J24" s="23" t="s">
        <v>226</v>
      </c>
      <c r="K24" s="24" t="s">
        <v>226</v>
      </c>
      <c r="L24" s="23"/>
      <c r="M24" s="26" t="s">
        <v>253</v>
      </c>
      <c r="N24" s="24">
        <v>2018</v>
      </c>
      <c r="O24" s="67" t="s">
        <v>29</v>
      </c>
      <c r="P24" s="68"/>
      <c r="Q24" s="68"/>
      <c r="R24" s="68"/>
      <c r="S24" s="68"/>
      <c r="T24" s="69"/>
      <c r="U24" s="5">
        <f>COUNTIFS(   D4:D1440,"Epidemiología y Salud Pública",C4:C1440,"Medicina Clínica y Salud Pública")</f>
        <v>20</v>
      </c>
      <c r="V24" s="5">
        <f>COUNTIFS(   D4:D1440,"Epidemiología y Salud Pública",C4:C1440,"Medicina Clínica y Salud Pública",F4:F1440,"Hombre")</f>
        <v>6</v>
      </c>
      <c r="W24" s="5">
        <f>COUNTIFS(   D4:D1440,"Epidemiología y Salud Pública",C4:C1440,"Medicina Clínica y Salud Pública",F4:F1440,"Mujer")</f>
        <v>14</v>
      </c>
      <c r="X24" s="19">
        <f>COUNTIFS(   A4:A1440,"2018", D4:D1440,"Epidemiología y Salud Pública",C4:C1440,"Medicina Clínica y Salud Pública")</f>
        <v>2</v>
      </c>
      <c r="Y24" s="5">
        <f>COUNTIFS(   A4:A1440,"2019", D4:D1440,"Epidemiología y Salud Pública",C4:C1440,"Medicina Clínica y Salud Pública")</f>
        <v>3</v>
      </c>
      <c r="Z24" s="5">
        <f>COUNTIFS(   A4:A1440,"2020", D4:D1440,"Epidemiología y Salud Pública",C4:C1440,"Medicina Clínica y Salud Pública")</f>
        <v>11</v>
      </c>
      <c r="AA24" s="5">
        <f>COUNTIFS(   A4:A1440,"2021", D4:D1440,"Epidemiología y Salud Pública",C4:C1440,"Medicina Clínica y Salud Pública")</f>
        <v>4</v>
      </c>
      <c r="AB24" s="5">
        <f>COUNTIFS(  A4:A1440,"2022", D4:D1440,"Epidemiología y Salud Pública",C4:C1440,"Medicina Clínica y Salud Pública")</f>
        <v>0</v>
      </c>
      <c r="AC24" s="19">
        <f>COUNTIFS(   N4:N1440,"2018", D4:D1440,"Epidemiología y Salud Pública",C4:C1440,"Medicina Clínica y Salud Pública")</f>
        <v>0</v>
      </c>
      <c r="AD24" s="5">
        <f>COUNTIFS(   N4:N1440,"2019", D4:D1440,"Epidemiología y Salud Pública",C4:C1440,"Medicina Clínica y Salud Pública")</f>
        <v>3</v>
      </c>
      <c r="AE24" s="5">
        <f>COUNTIFS(   N4:N1440,"2020", D4:D1440,"Epidemiología y Salud Pública",C4:C1440,"Medicina Clínica y Salud Pública")</f>
        <v>7</v>
      </c>
      <c r="AF24" s="5">
        <f>COUNTIFS(   N4:N1440,"2021", D4:D1440,"Epidemiología y Salud Pública",C4:C1440,"Medicina Clínica y Salud Pública")</f>
        <v>9</v>
      </c>
      <c r="AG24" s="5">
        <f>COUNTIFS(   N4:N1440,"2022", D4:D1440,"Epidemiología y Salud Pública",C4:C1440,"Medicina Clínica y Salud Pública")</f>
        <v>1</v>
      </c>
      <c r="AH24" s="5">
        <f>COUNTIFS(   D4:D1440,"Epidemiología y Salud Pública",C4:C1440,"Medicina Clínica y Salud Pública",G4:G1440,"Sí")</f>
        <v>0</v>
      </c>
      <c r="AI24" s="5">
        <f>COUNTIFS(   D4:D1440,"Epidemiología y Salud Pública",C4:C1440,"Medicina Clínica y Salud Pública",G4:G1440,"No")</f>
        <v>20</v>
      </c>
      <c r="AJ24" s="5">
        <f>SUMIFS( E4:E1440, D4:D1440,"Epidemiología y Salud Pública",C4:C1440,"Medicina Clínica y Salud Pública",G4:G1440,"Sí")</f>
        <v>0</v>
      </c>
      <c r="AK24" s="5">
        <f>SUMIFS( E4:E1440, D4:D1440,"Epidemiología y Salud Pública",C4:C1440,"Medicina Clínica y Salud Pública",G4:G1440,"No")</f>
        <v>259</v>
      </c>
      <c r="AL24" s="5">
        <f>COUNTIFS(   D4:D1440,"Epidemiología y Salud Pública",C4:C1440,"Medicina Clínica y Salud Pública",H4:H1440,"Sí")</f>
        <v>19</v>
      </c>
      <c r="AM24" s="5">
        <f>COUNTIFS(   D4:D1440,"Epidemiología y Salud Pública",C4:C1440,"Medicina Clínica y Salud Pública",I4:I1440,"Sí")</f>
        <v>8</v>
      </c>
      <c r="AN24" s="5">
        <f>COUNTIFS(   D4:D1440,"Epidemiología y Salud Pública",C4:C1440,"Medicina Clínica y Salud Pública",I4:I1440,"No")</f>
        <v>12</v>
      </c>
      <c r="AO24" s="5">
        <f>SUMIFS( E4:E1440, D4:D1440,"Epidemiología y Salud Pública",C4:C1440,"Medicina Clínica y Salud Pública",I4:I1440,"Sí")</f>
        <v>200</v>
      </c>
      <c r="AP24" s="5">
        <f>SUMIFS( E4:E1440, D4:D1440,"Epidemiología y Salud Pública",C4:C1440,"Medicina Clínica y Salud Pública",I4:I1440,"No")</f>
        <v>59</v>
      </c>
      <c r="AQ24" s="5">
        <f>COUNTIFS(   D4:D1440,"Epidemiología y Salud Pública",C4:C1440,"Medicina Clínica y Salud Pública",J4:J1440,"Sí")</f>
        <v>20</v>
      </c>
      <c r="AR24" s="5">
        <f>COUNTIFS(   D4:D1440,"Epidemiología y Salud Pública",C4:C1440,"Medicina Clínica y Salud Pública",K4:K1440,"Sí")</f>
        <v>3</v>
      </c>
      <c r="AS24" s="5">
        <f>COUNTIFS(   D4:D1440,"Epidemiología y Salud Pública",C4:C1440,"Medicina Clínica y Salud Pública",L4:L1440,"Sí")</f>
        <v>0</v>
      </c>
      <c r="AT24" s="5">
        <f>SUMIFS( E4:E1440, D4:D1440,"Epidemiología y Salud Pública",C4:C1440,"Medicina Clínica y Salud Pública")</f>
        <v>259</v>
      </c>
      <c r="AU24" s="5">
        <f>SUMIFS( E4:E1440, F4:F1440,"Hombre", D4:D1440,"Epidemiología y Salud Pública",C4:C1440,"Medicina Clínica y Salud Pública")</f>
        <v>100</v>
      </c>
      <c r="AV24" s="5">
        <f>SUMIFS( E4:E1440, F4:F1440,"Mujer", D4:D1440,"Epidemiología y Salud Pública",C4:C1440,"Medicina Clínica y Salud Pública")</f>
        <v>159</v>
      </c>
      <c r="AW24" s="19">
        <f>SUMIFS( E4:E1440, A4:A1440,"2018", D4:D1440,"Epidemiología y Salud Pública",C4:C1440,"Medicina Clínica y Salud Pública")</f>
        <v>42</v>
      </c>
      <c r="AX24" s="5">
        <f>SUMIFS( E4:E1440, A4:A1440,"2019", D4:D1440,"Epidemiología y Salud Pública",C4:C1440,"Medicina Clínica y Salud Pública")</f>
        <v>42</v>
      </c>
      <c r="AY24" s="5">
        <f>SUMIFS( E4:E1440, A4:A1440,"2020", D4:D1440,"Epidemiología y Salud Pública",C4:C1440,"Medicina Clínica y Salud Pública")</f>
        <v>100</v>
      </c>
      <c r="AZ24" s="5">
        <f>SUMIFS( E4:E1440, A4:A1440,"2021", D4:D1440,"Epidemiología y Salud Pública",C4:C1440,"Medicina Clínica y Salud Pública")</f>
        <v>75</v>
      </c>
      <c r="BA24" s="5">
        <f>SUMIFS( E4:E1440, A4:A1440,"2022", D4:D1440,"Epidemiología y Salud Pública",C4:C1440,"Medicina Clínica y Salud Pública")</f>
        <v>0</v>
      </c>
      <c r="BB24" s="19">
        <f>SUMIFS( E4:E1440, N4:N1440,"2018", D4:D1440,"Epidemiología y Salud Pública",C4:C1440,"Medicina Clínica y Salud Pública")</f>
        <v>0</v>
      </c>
      <c r="BC24" s="5">
        <f>SUMIFS( E4:E1440, N4:N1440,"2019", D4:D1440,"Epidemiología y Salud Pública",C4:C1440,"Medicina Clínica y Salud Pública")</f>
        <v>63</v>
      </c>
      <c r="BD24" s="5">
        <f>SUMIFS( E4:E1440, N4:N1440,"2020", D4:D1440,"Epidemiología y Salud Pública",C4:C1440,"Medicina Clínica y Salud Pública")</f>
        <v>48</v>
      </c>
      <c r="BE24" s="5">
        <f>SUMIFS( E4:E1440, N4:N1440,"2021", D4:D1440,"Epidemiología y Salud Pública",C4:C1440,"Medicina Clínica y Salud Pública")</f>
        <v>111</v>
      </c>
      <c r="BF24" s="5">
        <f>SUMIFS( E4:E1440, N4:N1440,"2022", D4:D1440,"Epidemiología y Salud Pública",C4:C1440,"Medicina Clínica y Salud Pública")</f>
        <v>37</v>
      </c>
      <c r="BG24" s="14">
        <f>AVERAGEIFS( E4:E1440, D4:D1440,"Epidemiología y Salud Pública",C4:C1440,"Medicina Clínica y Salud Pública")</f>
        <v>13.631578947368421</v>
      </c>
      <c r="BH24" s="14">
        <v>0</v>
      </c>
      <c r="BI24" s="14">
        <v>0</v>
      </c>
      <c r="BJ24" s="14">
        <f>AVERAGEIFS( E4:E1440, A4:A1440,"2020", D4:D1440,"Epidemiología y Salud Pública",C4:C1440,"Medicina Clínica y Salud Pública")</f>
        <v>10</v>
      </c>
      <c r="BK24" s="14">
        <f>AVERAGEIFS( E4:E1440, A4:A1440,"2021", D4:D1440,"Epidemiología y Salud Pública",C4:C1440,"Medicina Clínica y Salud Pública")</f>
        <v>18.75</v>
      </c>
      <c r="BL24" s="37" t="e">
        <f>AVERAGEIFS( E4:E1440, A4:A1440,"2022", D4:D1440,"Epidemiología y Salud Pública",C4:C1440,"Medicina Clínica y Salud Pública")</f>
        <v>#DIV/0!</v>
      </c>
      <c r="BM24" s="14">
        <v>13.8</v>
      </c>
      <c r="BN24" s="14">
        <v>0</v>
      </c>
      <c r="BO24" s="14">
        <v>0</v>
      </c>
      <c r="BP24" s="14">
        <v>25</v>
      </c>
      <c r="BQ24" s="14">
        <v>7</v>
      </c>
      <c r="BR24" s="14">
        <v>5</v>
      </c>
    </row>
    <row r="25" spans="1:70" ht="15" customHeight="1">
      <c r="A25" s="24">
        <v>2018</v>
      </c>
      <c r="B25" s="24" t="s">
        <v>4</v>
      </c>
      <c r="C25" s="24" t="s">
        <v>31</v>
      </c>
      <c r="D25" s="24" t="s">
        <v>32</v>
      </c>
      <c r="E25" s="23">
        <v>19</v>
      </c>
      <c r="F25" s="24" t="s">
        <v>211</v>
      </c>
      <c r="G25" s="24" t="s">
        <v>225</v>
      </c>
      <c r="H25" s="23" t="s">
        <v>226</v>
      </c>
      <c r="I25" s="24" t="s">
        <v>226</v>
      </c>
      <c r="J25" s="23" t="s">
        <v>226</v>
      </c>
      <c r="K25" s="24" t="s">
        <v>226</v>
      </c>
      <c r="L25" s="23"/>
      <c r="M25" s="26" t="s">
        <v>253</v>
      </c>
      <c r="N25" s="24">
        <v>2018</v>
      </c>
      <c r="O25" s="67" t="s">
        <v>28</v>
      </c>
      <c r="P25" s="68"/>
      <c r="Q25" s="68"/>
      <c r="R25" s="68"/>
      <c r="S25" s="68"/>
      <c r="T25" s="69"/>
      <c r="U25" s="5">
        <f>COUNTIFS(   D4:D1440,"Farmacología Clínica")</f>
        <v>11</v>
      </c>
      <c r="V25" s="5">
        <f>COUNTIFS(   D4:D1440,"Farmacología Clínica",F4:F1440,"Hombre")</f>
        <v>3</v>
      </c>
      <c r="W25" s="5">
        <f>COUNTIFS(   D4:D1440,"Farmacología Clínica",F4:F1440,"Mujer")</f>
        <v>8</v>
      </c>
      <c r="X25" s="19">
        <f>COUNTIFS(   A4:A1440,"2018", D4:D1440,"Farmacología Clínica")</f>
        <v>3</v>
      </c>
      <c r="Y25" s="5">
        <f>COUNTIFS(   A4:A1440,"2019", D4:D1440,"Farmacología Clínica")</f>
        <v>4</v>
      </c>
      <c r="Z25" s="5">
        <f>COUNTIFS(   A4:A1440,"2020", D4:D1440,"Farmacología Clínica")</f>
        <v>3</v>
      </c>
      <c r="AA25" s="5">
        <f>COUNTIFS(   A4:A1440,"2021", D4:D1440,"Farmacología Clínica")</f>
        <v>1</v>
      </c>
      <c r="AB25" s="5">
        <f>COUNTIFS(  A4:A1440,"2022", D4:D1440,"Farmacología Clínica")</f>
        <v>0</v>
      </c>
      <c r="AC25" s="19">
        <f>COUNTIFS(   N4:N1440,"2018", D4:D1440,"Farmacología Clínica")</f>
        <v>1</v>
      </c>
      <c r="AD25" s="5">
        <f>COUNTIFS(   N4:N1440,"2019", D4:D1440,"Farmacología Clínica")</f>
        <v>4</v>
      </c>
      <c r="AE25" s="5">
        <f>COUNTIFS(   N4:N1440,"2020", D4:D1440,"Farmacología Clínica")</f>
        <v>4</v>
      </c>
      <c r="AF25" s="5">
        <f>COUNTIFS(   N4:N1440,"2021", D4:D1440,"Farmacología Clínica")</f>
        <v>1</v>
      </c>
      <c r="AG25" s="5">
        <f>COUNTIFS(   N4:N1440,"2022", D4:D1440,"Farmacología Clínica")</f>
        <v>1</v>
      </c>
      <c r="AH25" s="5">
        <f>COUNTIFS(   D4:D1440,"Farmacología Clínica",G4:G1440,"Sí")</f>
        <v>1</v>
      </c>
      <c r="AI25" s="5">
        <f>COUNTIFS(   D4:D1440,"Farmacología Clínica",G4:G1440,"No")</f>
        <v>10</v>
      </c>
      <c r="AJ25" s="5">
        <f>SUMIFS( E4:E1440, D4:D1440,"Farmacología Clínica",G4:G1440,"Sí")</f>
        <v>5</v>
      </c>
      <c r="AK25" s="5">
        <f>SUMIFS( E4:E1440, D4:D1440,"Farmacología Clínica",G4:G1440,"No")</f>
        <v>103</v>
      </c>
      <c r="AL25" s="5">
        <f>COUNTIFS(   D4:D1440,"Farmacología Clínica",H4:H1440,"Sí")</f>
        <v>10</v>
      </c>
      <c r="AM25" s="5">
        <f>COUNTIFS(   D4:D1440,"Farmacología Clínica",I4:I1440,"Sí")</f>
        <v>10</v>
      </c>
      <c r="AN25" s="5">
        <f>COUNTIFS(   D4:D1440,"Farmacología Clínica",I4:I1440,"No")</f>
        <v>1</v>
      </c>
      <c r="AO25" s="5">
        <f>SUMIFS( E4:E1440, D4:D1440,"Farmacología Clínica",I4:I1440,"Sí")</f>
        <v>106</v>
      </c>
      <c r="AP25" s="5">
        <f>SUMIFS( E4:E1440, D4:D1440,"Farmacología Clínica",I4:I1440,"No")</f>
        <v>2</v>
      </c>
      <c r="AQ25" s="5">
        <f>COUNTIFS(   D4:D1440,"Farmacología Clínica",J4:J1440,"Sí")</f>
        <v>11</v>
      </c>
      <c r="AR25" s="5">
        <f>COUNTIFS(   D4:D1440,"Farmacología Clínica",K4:K1440,"Sí")</f>
        <v>6</v>
      </c>
      <c r="AS25" s="5">
        <f>COUNTIFS(   D4:D1440,"Farmacología Clínica",L4:L1440,"Sí")</f>
        <v>0</v>
      </c>
      <c r="AT25" s="5">
        <f>SUMIFS( E4:E1440, D4:D1440,"Farmacología Clínica")</f>
        <v>108</v>
      </c>
      <c r="AU25" s="5">
        <f>SUMIFS( E4:E1440, F4:F1440,"Hombre", D4:D1440,"Farmacología Clínica")</f>
        <v>23</v>
      </c>
      <c r="AV25" s="5">
        <f>SUMIFS( E4:E1440, F4:F1440,"Mujer", D4:D1440,"Farmacología Clínica")</f>
        <v>85</v>
      </c>
      <c r="AW25" s="19">
        <f>SUMIFS( E4:E1440, A4:A1440,"2018", D4:D1440,"Farmacología Clínica")</f>
        <v>37</v>
      </c>
      <c r="AX25" s="5">
        <f>SUMIFS( E4:E1440, A4:A1440,"2019", D4:D1440,"Farmacología Clínica")</f>
        <v>33</v>
      </c>
      <c r="AY25" s="5">
        <f>SUMIFS( E4:E1440, A4:A1440,"2020", D4:D1440,"Farmacología Clínica")</f>
        <v>22</v>
      </c>
      <c r="AZ25" s="5">
        <f>SUMIFS( E4:E1440, A4:A1440,"2021", D4:D1440,"Farmacología Clínica")</f>
        <v>16</v>
      </c>
      <c r="BA25" s="5">
        <f>SUMIFS( E4:E1440, A4:A1440,"2022", D4:D1440,"Farmacología Clínica")</f>
        <v>0</v>
      </c>
      <c r="BB25" s="19">
        <f>SUMIFS( E4:E1440, N4:N1440,"2018", D4:D1440,"Farmacología Clínica")</f>
        <v>12</v>
      </c>
      <c r="BC25" s="5">
        <f>SUMIFS( E4:E1440, N4:N1440,"2019", D4:D1440,"Farmacología Clínica")</f>
        <v>39</v>
      </c>
      <c r="BD25" s="5">
        <f>SUMIFS( E4:E1440, N4:N1440,"2020", D4:D1440,"Farmacología Clínica")</f>
        <v>39</v>
      </c>
      <c r="BE25" s="5">
        <f>SUMIFS( E4:E1440, N4:N1440,"2021", D4:D1440,"Farmacología Clínica")</f>
        <v>2</v>
      </c>
      <c r="BF25" s="5">
        <f>SUMIFS( E4:E1440, N4:N1440,"2022", D4:D1440,"Farmacología Clínica")</f>
        <v>16</v>
      </c>
      <c r="BG25" s="14">
        <f>AVERAGEIFS( E4:E1440, D4:D1440,"Farmacología Clínica")</f>
        <v>10.8</v>
      </c>
      <c r="BH25" s="14">
        <v>0</v>
      </c>
      <c r="BI25" s="14">
        <f>AVERAGEIFS( E4:E1440, A4:A1440,"2019", D4:D1440,"Farmacología Clínica")</f>
        <v>8.25</v>
      </c>
      <c r="BJ25" s="14">
        <v>0</v>
      </c>
      <c r="BK25" s="14">
        <f>AVERAGEIFS( E4:E1440, A4:A1440,"2021", D4:D1440,"Farmacología Clínica")</f>
        <v>16</v>
      </c>
      <c r="BL25" s="37" t="e">
        <f>AVERAGEIFS( E4:E1440, A4:A1440,"2022", D4:D1440,"Farmacología Clínica")</f>
        <v>#DIV/0!</v>
      </c>
      <c r="BM25" s="14">
        <v>14.5</v>
      </c>
      <c r="BN25" s="14">
        <v>0</v>
      </c>
      <c r="BO25" s="14">
        <v>12.5</v>
      </c>
      <c r="BP25" s="14">
        <v>0</v>
      </c>
      <c r="BQ25" s="14">
        <v>11</v>
      </c>
      <c r="BR25" s="14">
        <v>22</v>
      </c>
    </row>
    <row r="26" spans="1:70" ht="15" customHeight="1">
      <c r="A26" s="24">
        <v>2018</v>
      </c>
      <c r="B26" s="24" t="s">
        <v>136</v>
      </c>
      <c r="C26" s="24" t="s">
        <v>137</v>
      </c>
      <c r="D26" s="24" t="s">
        <v>141</v>
      </c>
      <c r="E26" s="23">
        <v>1</v>
      </c>
      <c r="F26" s="24" t="s">
        <v>211</v>
      </c>
      <c r="G26" s="24" t="s">
        <v>225</v>
      </c>
      <c r="H26" s="23" t="s">
        <v>226</v>
      </c>
      <c r="I26" s="24" t="s">
        <v>225</v>
      </c>
      <c r="J26" s="23" t="s">
        <v>226</v>
      </c>
      <c r="K26" s="24" t="s">
        <v>226</v>
      </c>
      <c r="L26" s="23"/>
      <c r="M26" s="26" t="s">
        <v>254</v>
      </c>
      <c r="N26" s="24">
        <v>2018</v>
      </c>
      <c r="O26" s="67" t="s">
        <v>27</v>
      </c>
      <c r="P26" s="68"/>
      <c r="Q26" s="68"/>
      <c r="R26" s="68"/>
      <c r="S26" s="68"/>
      <c r="T26" s="69"/>
      <c r="U26" s="5">
        <f>COUNTIFS(   D4:D1440,"Fisiopatología de las enfermedades médico-quirúrgicas")</f>
        <v>39</v>
      </c>
      <c r="V26" s="5">
        <f>COUNTIFS(   D4:D1440,"Fisiopatología de las enfermedades médico-quirúrgicas",F4:F1440,"Hombre")</f>
        <v>17</v>
      </c>
      <c r="W26" s="5">
        <f>COUNTIFS(   D4:D1440,"Fisiopatología de las enfermedades médico-quirúrgicas",F4:F1440,"Mujer")</f>
        <v>22</v>
      </c>
      <c r="X26" s="19">
        <f>COUNTIFS(   A4:A1440,"2018", D4:D1440,"Fisiopatología de las enfermedades médico-quirúrgicas")</f>
        <v>8</v>
      </c>
      <c r="Y26" s="5">
        <f>COUNTIFS(   A4:A1440,"2019", D4:D1440,"Fisiopatología de las enfermedades médico-quirúrgicas")</f>
        <v>9</v>
      </c>
      <c r="Z26" s="5">
        <f>COUNTIFS(   A4:A1440,"2020", D4:D1440,"Fisiopatología de las enfermedades médico-quirúrgicas")</f>
        <v>13</v>
      </c>
      <c r="AA26" s="5">
        <f>COUNTIFS(   A4:A1440,"2021", D4:D1440,"Fisiopatología de las enfermedades médico-quirúrgicas")</f>
        <v>9</v>
      </c>
      <c r="AB26" s="5">
        <f>COUNTIFS(  A4:A1440,"2022", D4:D1440,"Fisiopatología de las enfermedades médico-quirúrgicas")</f>
        <v>0</v>
      </c>
      <c r="AC26" s="19">
        <f>COUNTIFS(   N4:N1440,"2018", D4:D1440,"Fisiopatología de las enfermedades médico-quirúrgicas")</f>
        <v>4</v>
      </c>
      <c r="AD26" s="5">
        <f>COUNTIFS(   N4:N1440,"2019", D4:D1440,"Fisiopatología de las enfermedades médico-quirúrgicas")</f>
        <v>8</v>
      </c>
      <c r="AE26" s="5">
        <f>COUNTIFS(   N4:N1440,"2020", D4:D1440,"Fisiopatología de las enfermedades médico-quirúrgicas")</f>
        <v>8</v>
      </c>
      <c r="AF26" s="5">
        <f>COUNTIFS(   N4:N1440,"2021", D4:D1440,"Fisiopatología de las enfermedades médico-quirúrgicas")</f>
        <v>13</v>
      </c>
      <c r="AG26" s="5">
        <f>COUNTIFS(   N4:N1440,"2022", D4:D1440,"Fisiopatología de las enfermedades médico-quirúrgicas")</f>
        <v>6</v>
      </c>
      <c r="AH26" s="5">
        <f>COUNTIFS(   D4:D1440,"Fisiopatología de las enfermedades médico-quirúrgicas",G4:G1440,"Sí")</f>
        <v>0</v>
      </c>
      <c r="AI26" s="5">
        <f>COUNTIFS(   D4:D1440,"Fisiopatología de las enfermedades médico-quirúrgicas",G4:G1440,"No")</f>
        <v>39</v>
      </c>
      <c r="AJ26" s="5">
        <f>SUMIFS( E4:E1440, D4:D1440,"Fisiopatología de las enfermedades médico-quirúrgicas",G4:G1440,"Sí")</f>
        <v>0</v>
      </c>
      <c r="AK26" s="5">
        <f>SUMIFS( E4:E1440, D4:D1440,"Fisiopatología de las enfermedades médico-quirúrgicas",G4:G1440,"No")</f>
        <v>390</v>
      </c>
      <c r="AL26" s="5">
        <f>COUNTIFS(   D4:D1440,"Fisiopatología de las enfermedades médico-quirúrgicas",H4:H1440,"Sí")</f>
        <v>35</v>
      </c>
      <c r="AM26" s="5">
        <f>COUNTIFS(   D4:D1440,"Fisiopatología de las enfermedades médico-quirúrgicas",I4:I1440,"Sí")</f>
        <v>5</v>
      </c>
      <c r="AN26" s="5">
        <f>COUNTIFS(   D4:D1440,"Fisiopatología de las enfermedades médico-quirúrgicas",I4:I1440,"No")</f>
        <v>34</v>
      </c>
      <c r="AO26" s="5">
        <f>SUMIFS( E4:E1440, D4:D1440,"Fisiopatología de las enfermedades médico-quirúrgicas",I4:I1440,"Sí")</f>
        <v>55</v>
      </c>
      <c r="AP26" s="5">
        <f>SUMIFS( E4:E1440, D4:D1440,"Fisiopatología de las enfermedades médico-quirúrgicas",I4:I1440,"No")</f>
        <v>335</v>
      </c>
      <c r="AQ26" s="5">
        <f>COUNTIFS(   D4:D1440,"Fisiopatología de las enfermedades médico-quirúrgicas",J4:J1440,"Sí")</f>
        <v>39</v>
      </c>
      <c r="AR26" s="5">
        <f>COUNTIFS(   D4:D1440,"Fisiopatología de las enfermedades médico-quirúrgicas",K4:K1440,"Sí")</f>
        <v>13</v>
      </c>
      <c r="AS26" s="5">
        <f>COUNTIFS(   D4:D1440,"Fisiopatología de las enfermedades médico-quirúrgicas",L4:L1440,"Sí")</f>
        <v>0</v>
      </c>
      <c r="AT26" s="5">
        <f>SUMIFS( E4:E1440, D4:D1440,"Fisiopatología de las enfermedades médico-quirúrgicas")</f>
        <v>390</v>
      </c>
      <c r="AU26" s="5">
        <f>SUMIFS( E4:E1440, F4:F1440,"Hombre", D4:D1440,"Fisiopatología de las enfermedades médico-quirúrgicas")</f>
        <v>201</v>
      </c>
      <c r="AV26" s="5">
        <f>SUMIFS( E4:E1440, F4:F1440,"Mujer", D4:D1440,"Fisiopatología de las enfermedades médico-quirúrgicas")</f>
        <v>189</v>
      </c>
      <c r="AW26" s="19">
        <f>SUMIFS( E4:E1440, A4:A1440,"2018", D4:D1440,"Fisiopatología de las enfermedades médico-quirúrgicas")</f>
        <v>79</v>
      </c>
      <c r="AX26" s="5">
        <f>SUMIFS( E4:E1440, A4:A1440,"2019", D4:D1440,"Fisiopatología de las enfermedades médico-quirúrgicas")</f>
        <v>36</v>
      </c>
      <c r="AY26" s="5">
        <f>SUMIFS( E4:E1440, A4:A1440,"2020", D4:D1440,"Fisiopatología de las enfermedades médico-quirúrgicas")</f>
        <v>156</v>
      </c>
      <c r="AZ26" s="5">
        <f>SUMIFS( E4:E1440, A4:A1440,"2021", D4:D1440,"Fisiopatología de las enfermedades médico-quirúrgicas")</f>
        <v>119</v>
      </c>
      <c r="BA26" s="5">
        <f>SUMIFS( E4:E1440, A4:A1440,"2022", D4:D1440,"Fisiopatología de las enfermedades médico-quirúrgicas")</f>
        <v>0</v>
      </c>
      <c r="BB26" s="19">
        <f>SUMIFS( E4:E1440, N4:N1440,"2018", D4:D1440,"Fisiopatología de las enfermedades médico-quirúrgicas")</f>
        <v>20</v>
      </c>
      <c r="BC26" s="5">
        <f>SUMIFS( E4:E1440, N4:N1440,"2019", D4:D1440,"Fisiopatología de las enfermedades médico-quirúrgicas")</f>
        <v>87</v>
      </c>
      <c r="BD26" s="5">
        <f>SUMIFS( E4:E1440, N4:N1440,"2020", D4:D1440,"Fisiopatología de las enfermedades médico-quirúrgicas")</f>
        <v>57</v>
      </c>
      <c r="BE26" s="5">
        <f>SUMIFS( E4:E1440, N4:N1440,"2021", D4:D1440,"Fisiopatología de las enfermedades médico-quirúrgicas")</f>
        <v>124</v>
      </c>
      <c r="BF26" s="5">
        <f>SUMIFS( E4:E1440, N4:N1440,"2022", D4:D1440,"Fisiopatología de las enfermedades médico-quirúrgicas")</f>
        <v>102</v>
      </c>
      <c r="BG26" s="14">
        <f>AVERAGEIFS( E4:E1440, D4:D1440,"Fisiopatología de las enfermedades médico-quirúrgicas")</f>
        <v>11.142857142857142</v>
      </c>
      <c r="BH26" s="14">
        <v>0</v>
      </c>
      <c r="BI26" s="14">
        <v>0</v>
      </c>
      <c r="BJ26" s="14">
        <f>AVERAGEIFS( E4:E1440, A4:A1440,"2020", D4:D1440,"Fisiopatología de las enfermedades médico-quirúrgicas")</f>
        <v>13</v>
      </c>
      <c r="BK26" s="14">
        <f>AVERAGEIFS( E4:E1440, A4:A1440,"2021", D4:D1440,"Fisiopatología de las enfermedades médico-quirúrgicas")</f>
        <v>14.875</v>
      </c>
      <c r="BL26" s="37" t="e">
        <f>AVERAGEIFS( E4:E1440, A4:A1440,"2022", D4:D1440,"Fisiopatología de las enfermedades médico-quirúrgicas")</f>
        <v>#DIV/0!</v>
      </c>
      <c r="BM26" s="14">
        <v>16.136363636363637</v>
      </c>
      <c r="BN26" s="14">
        <v>0</v>
      </c>
      <c r="BO26" s="14">
        <v>0</v>
      </c>
      <c r="BP26" s="14">
        <v>26.333333333333332</v>
      </c>
      <c r="BQ26" s="14">
        <v>12.333333333333334</v>
      </c>
      <c r="BR26" s="14">
        <v>15.538461538461538</v>
      </c>
    </row>
    <row r="27" spans="1:70" ht="15" customHeight="1">
      <c r="A27" s="24">
        <v>2018</v>
      </c>
      <c r="B27" s="24" t="s">
        <v>136</v>
      </c>
      <c r="C27" s="24" t="s">
        <v>137</v>
      </c>
      <c r="D27" s="24" t="s">
        <v>144</v>
      </c>
      <c r="E27" s="23">
        <v>3</v>
      </c>
      <c r="F27" s="24" t="s">
        <v>211</v>
      </c>
      <c r="G27" s="24" t="s">
        <v>225</v>
      </c>
      <c r="H27" s="23" t="s">
        <v>226</v>
      </c>
      <c r="I27" s="24" t="s">
        <v>226</v>
      </c>
      <c r="J27" s="23" t="s">
        <v>226</v>
      </c>
      <c r="K27" s="24" t="s">
        <v>226</v>
      </c>
      <c r="L27" s="23"/>
      <c r="M27" s="26" t="s">
        <v>254</v>
      </c>
      <c r="N27" s="24">
        <v>2018</v>
      </c>
      <c r="O27" s="67" t="s">
        <v>26</v>
      </c>
      <c r="P27" s="68"/>
      <c r="Q27" s="68"/>
      <c r="R27" s="68"/>
      <c r="S27" s="68"/>
      <c r="T27" s="69"/>
      <c r="U27" s="5">
        <f>COUNTIFS(   D4:D1440,"Investigación en odontología clínica")</f>
        <v>20</v>
      </c>
      <c r="V27" s="5">
        <f>COUNTIFS(   D4:D1440,"Investigación en odontología clínica",F4:F1440,"Hombre")</f>
        <v>7</v>
      </c>
      <c r="W27" s="5">
        <f>COUNTIFS(   D4:D1440,"Investigación en odontología clínica",F4:F1440,"Mujer")</f>
        <v>13</v>
      </c>
      <c r="X27" s="19">
        <f>COUNTIFS(   A4:A1440,"2018", D4:D1440,"Investigación en odontología clínica")</f>
        <v>7</v>
      </c>
      <c r="Y27" s="5">
        <f>COUNTIFS(   A4:A1440,"2019", D4:D1440,"Investigación en odontología clínica")</f>
        <v>3</v>
      </c>
      <c r="Z27" s="5">
        <f>COUNTIFS(   A4:A1440,"2020", D4:D1440,"Investigación en odontología clínica")</f>
        <v>5</v>
      </c>
      <c r="AA27" s="5">
        <f>COUNTIFS(   A4:A1440,"2021", D4:D1440,"Investigación en odontología clínica")</f>
        <v>5</v>
      </c>
      <c r="AB27" s="5">
        <f>COUNTIFS(  A4:A1440,"2022", D4:D1440,"Investigación en odontología clínica")</f>
        <v>0</v>
      </c>
      <c r="AC27" s="19">
        <f>COUNTIFS(   N4:N1440,"2018", D4:D1440,"Investigación en odontología clínica")</f>
        <v>1</v>
      </c>
      <c r="AD27" s="5">
        <f>COUNTIFS(   N4:N1440,"2019", D4:D1440,"Investigación en odontología clínica")</f>
        <v>6</v>
      </c>
      <c r="AE27" s="5">
        <f>COUNTIFS(   N4:N1440,"2020", D4:D1440,"Investigación en odontología clínica")</f>
        <v>4</v>
      </c>
      <c r="AF27" s="5">
        <f>COUNTIFS(   N4:N1440,"2021", D4:D1440,"Investigación en odontología clínica")</f>
        <v>7</v>
      </c>
      <c r="AG27" s="5">
        <f>COUNTIFS(   N4:N1440,"2022", D4:D1440,"Investigación en odontología clínica")</f>
        <v>2</v>
      </c>
      <c r="AH27" s="5">
        <f>COUNTIFS(   D4:D1440,"Investigación en odontología clínica",G4:G1440,"Sí")</f>
        <v>2</v>
      </c>
      <c r="AI27" s="5">
        <f>COUNTIFS(   D4:D1440,"Investigación en odontología clínica",G4:G1440,"No")</f>
        <v>18</v>
      </c>
      <c r="AJ27" s="5">
        <f>SUMIFS( E4:E1440, D4:D1440,"Investigación en odontología clínica",G4:G1440,"Sí")</f>
        <v>35</v>
      </c>
      <c r="AK27" s="5">
        <f>SUMIFS( E4:E1440, D4:D1440,"Investigación en odontología clínica",G4:G1440,"No")</f>
        <v>157</v>
      </c>
      <c r="AL27" s="5">
        <f>COUNTIFS(   D4:D1440,"Investigación en odontología clínica",H4:H1440,"Sí")</f>
        <v>15</v>
      </c>
      <c r="AM27" s="5">
        <f>COUNTIFS(   D4:D1440,"Investigación en odontología clínica",I4:I1440,"Sí")</f>
        <v>2</v>
      </c>
      <c r="AN27" s="5">
        <f>COUNTIFS(   D4:D1440,"Investigación en odontología clínica",I4:I1440,"No")</f>
        <v>18</v>
      </c>
      <c r="AO27" s="5">
        <f>SUMIFS( E4:E1440, D4:D1440,"Investigación en odontología clínica",I4:I1440,"Sí")</f>
        <v>25</v>
      </c>
      <c r="AP27" s="5">
        <f>SUMIFS( E4:E1440, D4:D1440,"Investigación en odontología clínica",I4:I1440,"No")</f>
        <v>167</v>
      </c>
      <c r="AQ27" s="5">
        <f>COUNTIFS(   D4:D1440,"Investigación en odontología clínica",J4:J1440,"Sí")</f>
        <v>20</v>
      </c>
      <c r="AR27" s="5">
        <f>COUNTIFS(   D4:D1440,"Investigación en odontología clínica",K4:K1440,"Sí")</f>
        <v>6</v>
      </c>
      <c r="AS27" s="5">
        <f>COUNTIFS(   D4:D1440,"Investigación en odontología clínica",L4:L1440,"Sí")</f>
        <v>0</v>
      </c>
      <c r="AT27" s="5">
        <f>SUMIFS( E4:E1440, D4:D1440,"Investigación en odontología clínica")</f>
        <v>192</v>
      </c>
      <c r="AU27" s="5">
        <f>SUMIFS( E4:E1440, F4:F1440,"Hombre", D4:D1440,"Investigación en odontología clínica")</f>
        <v>129</v>
      </c>
      <c r="AV27" s="5">
        <f>SUMIFS( E4:E1440, F4:F1440,"Mujer", D4:D1440,"Investigación en odontología clínica")</f>
        <v>63</v>
      </c>
      <c r="AW27" s="19">
        <f>SUMIFS( E4:E1440, A4:A1440,"2018", D4:D1440,"Investigación en odontología clínica")</f>
        <v>115</v>
      </c>
      <c r="AX27" s="5">
        <f>SUMIFS( E4:E1440, A4:A1440,"2019", D4:D1440,"Investigación en odontología clínica")</f>
        <v>20</v>
      </c>
      <c r="AY27" s="5">
        <f>SUMIFS( E4:E1440, A4:A1440,"2020", D4:D1440,"Investigación en odontología clínica")</f>
        <v>21</v>
      </c>
      <c r="AZ27" s="5">
        <f>SUMIFS( E4:E1440, A4:A1440,"2021", D4:D1440,"Investigación en odontología clínica")</f>
        <v>36</v>
      </c>
      <c r="BA27" s="5">
        <f>SUMIFS( E4:E1440, A4:A1440,"2022", D4:D1440,"Investigación en odontología clínica")</f>
        <v>0</v>
      </c>
      <c r="BB27" s="19">
        <f>SUMIFS( E4:E1440, N4:N1440,"2018", D4:D1440,"Investigación en odontología clínica")</f>
        <v>25</v>
      </c>
      <c r="BC27" s="5">
        <f>SUMIFS( E4:E1440, N4:N1440,"2019", D4:D1440,"Investigación en odontología clínica")</f>
        <v>90</v>
      </c>
      <c r="BD27" s="5">
        <f>SUMIFS( E4:E1440, N4:N1440,"2020", D4:D1440,"Investigación en odontología clínica")</f>
        <v>27</v>
      </c>
      <c r="BE27" s="5">
        <f>SUMIFS( E4:E1440, N4:N1440,"2021", D4:D1440,"Investigación en odontología clínica")</f>
        <v>30</v>
      </c>
      <c r="BF27" s="5">
        <f>SUMIFS( E4:E1440, N4:N1440,"2022", D4:D1440,"Investigación en odontología clínica")</f>
        <v>20</v>
      </c>
      <c r="BG27" s="14">
        <f>AVERAGEIFS( E4:E1440, D4:D1440,"Investigación en odontología clínica")</f>
        <v>12.8</v>
      </c>
      <c r="BH27" s="14">
        <v>0</v>
      </c>
      <c r="BI27" s="14">
        <v>0</v>
      </c>
      <c r="BJ27" s="14">
        <v>0</v>
      </c>
      <c r="BK27" s="14">
        <f>AVERAGEIFS( E4:E1440, A4:A1440,"2021", D4:D1440,"Investigación en odontología clínica")</f>
        <v>7.2</v>
      </c>
      <c r="BL27" s="37" t="e">
        <f>AVERAGEIFS( E4:E1440, A4:A1440,"2022", D4:D1440,"Investigación en odontología clínica")</f>
        <v>#DIV/0!</v>
      </c>
      <c r="BM27" s="14">
        <v>5.333333333333333</v>
      </c>
      <c r="BN27" s="14">
        <v>0</v>
      </c>
      <c r="BO27" s="14">
        <v>0</v>
      </c>
      <c r="BP27" s="14">
        <v>0</v>
      </c>
      <c r="BQ27" s="14">
        <v>4</v>
      </c>
      <c r="BR27" s="14">
        <v>6</v>
      </c>
    </row>
    <row r="28" spans="1:70" ht="15" customHeight="1">
      <c r="A28" s="24">
        <v>2018</v>
      </c>
      <c r="B28" s="24" t="s">
        <v>4</v>
      </c>
      <c r="C28" s="24" t="s">
        <v>203</v>
      </c>
      <c r="D28" s="24" t="s">
        <v>39</v>
      </c>
      <c r="E28" s="23">
        <v>1</v>
      </c>
      <c r="F28" s="24" t="s">
        <v>207</v>
      </c>
      <c r="G28" s="24" t="s">
        <v>225</v>
      </c>
      <c r="H28" s="23" t="s">
        <v>226</v>
      </c>
      <c r="I28" s="24" t="s">
        <v>226</v>
      </c>
      <c r="J28" s="23" t="s">
        <v>226</v>
      </c>
      <c r="K28" s="24" t="s">
        <v>226</v>
      </c>
      <c r="L28" s="23"/>
      <c r="M28" s="26" t="s">
        <v>255</v>
      </c>
      <c r="N28" s="24">
        <v>2018</v>
      </c>
      <c r="O28" s="67" t="s">
        <v>24</v>
      </c>
      <c r="P28" s="68"/>
      <c r="Q28" s="68"/>
      <c r="R28" s="68"/>
      <c r="S28" s="68"/>
      <c r="T28" s="69"/>
      <c r="U28" s="5">
        <f>COUNTIFS(   D4:D1440,"Neurociencias clínicas y dolor")</f>
        <v>6</v>
      </c>
      <c r="V28" s="5">
        <f>COUNTIFS(   D4:D1440,"Neurociencias clínicas y dolor",F4:F1440,"Hombre")</f>
        <v>4</v>
      </c>
      <c r="W28" s="5">
        <f>COUNTIFS(   D4:D1440,"Neurociencias clínicas y dolor",F4:F1440,"Mujer")</f>
        <v>2</v>
      </c>
      <c r="X28" s="19">
        <f>COUNTIFS(   A4:A1440,"2018", D4:D1440,"Neurociencias clínicas y dolor")</f>
        <v>2</v>
      </c>
      <c r="Y28" s="5">
        <f>COUNTIFS(   A4:A1440,"2019", D4:D1440,"Neurociencias clínicas y dolor")</f>
        <v>1</v>
      </c>
      <c r="Z28" s="5">
        <f>COUNTIFS(   A4:A1440,"2020", D4:D1440,"Neurociencias clínicas y dolor")</f>
        <v>2</v>
      </c>
      <c r="AA28" s="5">
        <f>COUNTIFS(   A4:A1440,"2021", D4:D1440,"Neurociencias clínicas y dolor")</f>
        <v>1</v>
      </c>
      <c r="AB28" s="5">
        <f>COUNTIFS(  A4:A1440,"2022", D4:D1440,"Neurociencias clínicas y dolor")</f>
        <v>0</v>
      </c>
      <c r="AC28" s="19">
        <f>COUNTIFS(   N4:N1440,"2018", D4:D1440,"Neurociencias clínicas y dolor")</f>
        <v>0</v>
      </c>
      <c r="AD28" s="5">
        <f>COUNTIFS(   N4:N1440,"2019", D4:D1440,"Neurociencias clínicas y dolor")</f>
        <v>3</v>
      </c>
      <c r="AE28" s="5">
        <f>COUNTIFS(   N4:N1440,"2020", D4:D1440,"Neurociencias clínicas y dolor")</f>
        <v>0</v>
      </c>
      <c r="AF28" s="5">
        <f>COUNTIFS(   N4:N1440,"2021", D4:D1440,"Neurociencias clínicas y dolor")</f>
        <v>2</v>
      </c>
      <c r="AG28" s="5">
        <f>COUNTIFS(   N4:N1440,"2022", D4:D1440,"Neurociencias clínicas y dolor")</f>
        <v>1</v>
      </c>
      <c r="AH28" s="5">
        <f>COUNTIFS(   D4:D1440,"Neurociencias clínicas y dolor",G4:G1440,"Sí")</f>
        <v>0</v>
      </c>
      <c r="AI28" s="5">
        <f>COUNTIFS(   D4:D1440,"Neurociencias clínicas y dolor",G4:G1440,"No")</f>
        <v>6</v>
      </c>
      <c r="AJ28" s="5">
        <f>SUMIFS( E4:E1440, D4:D1440,"Neurociencias clínicas y dolor",G4:G1440,"Sí")</f>
        <v>0</v>
      </c>
      <c r="AK28" s="5">
        <f>SUMIFS( E4:E1440, D4:D1440,"Neurociencias clínicas y dolor",G4:G1440,"No")</f>
        <v>81</v>
      </c>
      <c r="AL28" s="5">
        <f>COUNTIFS(   D4:D1440,"Neurociencias clínicas y dolor",H4:H1440,"Sí")</f>
        <v>6</v>
      </c>
      <c r="AM28" s="5">
        <f>COUNTIFS(   D4:D1440,"Neurociencias clínicas y dolor",I4:I1440,"Sí")</f>
        <v>1</v>
      </c>
      <c r="AN28" s="5">
        <f>COUNTIFS(   D4:D1440,"Neurociencias clínicas y dolor",I4:I1440,"No")</f>
        <v>5</v>
      </c>
      <c r="AO28" s="5">
        <f>SUMIFS( E4:E1440, D4:D1440,"Neurociencias clínicas y dolor",I4:I1440,"Sí")</f>
        <v>38</v>
      </c>
      <c r="AP28" s="5">
        <f>SUMIFS( E4:E1440, D4:D1440,"Neurociencias clínicas y dolor",I4:I1440,"No")</f>
        <v>43</v>
      </c>
      <c r="AQ28" s="5">
        <f>COUNTIFS(   D4:D1440,"Neurociencias clínicas y dolor",J4:J1440,"Sí")</f>
        <v>6</v>
      </c>
      <c r="AR28" s="5">
        <f>COUNTIFS(   D4:D1440,"Neurociencias clínicas y dolor",K4:K1440,"Sí")</f>
        <v>2</v>
      </c>
      <c r="AS28" s="5">
        <f>COUNTIFS(   D4:D1440,"Neurociencias clínicas y dolor",L4:L1440,"Sí")</f>
        <v>0</v>
      </c>
      <c r="AT28" s="5">
        <f>SUMIFS( E4:E1440, D4:D1440,"Neurociencias clínicas y dolor")</f>
        <v>81</v>
      </c>
      <c r="AU28" s="5">
        <f>SUMIFS( E4:E1440, F4:F1440,"Hombre", D4:D1440,"Neurociencias clínicas y dolor")</f>
        <v>70</v>
      </c>
      <c r="AV28" s="5">
        <f>SUMIFS( E4:E1440, F4:F1440,"Mujer", D4:D1440,"Neurociencias clínicas y dolor")</f>
        <v>11</v>
      </c>
      <c r="AW28" s="19">
        <f>SUMIFS( E4:E1440, A4:A1440,"2018", D4:D1440,"Neurociencias clínicas y dolor")</f>
        <v>39</v>
      </c>
      <c r="AX28" s="5">
        <f>SUMIFS( E4:E1440, A4:A1440,"2019", D4:D1440,"Neurociencias clínicas y dolor")</f>
        <v>4</v>
      </c>
      <c r="AY28" s="5">
        <f>SUMIFS( E4:E1440, A4:A1440,"2020", D4:D1440,"Neurociencias clínicas y dolor")</f>
        <v>11</v>
      </c>
      <c r="AZ28" s="5">
        <f>SUMIFS( E4:E1440, A4:A1440,"2021", D4:D1440,"Neurociencias clínicas y dolor")</f>
        <v>27</v>
      </c>
      <c r="BA28" s="5">
        <f>SUMIFS( E4:E1440, A4:A1440,"2022", D4:D1440,"Neurociencias clínicas y dolor")</f>
        <v>0</v>
      </c>
      <c r="BB28" s="19">
        <f>SUMIFS( E4:E1440, N4:N1440,"2018", D4:D1440,"Neurociencias clínicas y dolor")</f>
        <v>0</v>
      </c>
      <c r="BC28" s="5">
        <f>SUMIFS( E4:E1440, N4:N1440,"2019", D4:D1440,"Neurociencias clínicas y dolor")</f>
        <v>43</v>
      </c>
      <c r="BD28" s="5">
        <f>SUMIFS( E4:E1440, N4:N1440,"2020", D4:D1440,"Neurociencias clínicas y dolor")</f>
        <v>0</v>
      </c>
      <c r="BE28" s="5">
        <f>SUMIFS( E4:E1440, N4:N1440,"2021", D4:D1440,"Neurociencias clínicas y dolor")</f>
        <v>11</v>
      </c>
      <c r="BF28" s="5">
        <f>SUMIFS( E4:E1440, N4:N1440,"2022", D4:D1440,"Neurociencias clínicas y dolor")</f>
        <v>27</v>
      </c>
      <c r="BG28" s="14">
        <f>AVERAGEIFS( E4:E1440, D4:D1440,"Neurociencias clínicas y dolor")</f>
        <v>13.5</v>
      </c>
      <c r="BH28" s="14">
        <v>0</v>
      </c>
      <c r="BI28" s="14">
        <v>0</v>
      </c>
      <c r="BJ28" s="14">
        <v>0</v>
      </c>
      <c r="BK28" s="14">
        <f>AVERAGEIFS( E4:E1440, A4:A1440,"2021", D4:D1440,"Neurociencias clínicas y dolor")</f>
        <v>27</v>
      </c>
      <c r="BL28" s="37" t="e">
        <f>AVERAGEIFS( E4:E1440, A4:A1440,"2022", D4:D1440,"Neurociencias clínicas y dolor")</f>
        <v>#DIV/0!</v>
      </c>
      <c r="BM28" s="14">
        <v>5.5</v>
      </c>
      <c r="BN28" s="14">
        <v>0</v>
      </c>
      <c r="BO28" s="14">
        <v>0</v>
      </c>
      <c r="BP28" s="14">
        <v>0</v>
      </c>
      <c r="BQ28" s="14">
        <v>7</v>
      </c>
      <c r="BR28" s="14">
        <v>4</v>
      </c>
    </row>
    <row r="29" spans="1:70" ht="15" customHeight="1">
      <c r="A29" s="24">
        <v>2018</v>
      </c>
      <c r="B29" s="24" t="s">
        <v>136</v>
      </c>
      <c r="C29" s="24" t="s">
        <v>189</v>
      </c>
      <c r="D29" s="24" t="s">
        <v>193</v>
      </c>
      <c r="E29" s="23"/>
      <c r="F29" s="24" t="s">
        <v>211</v>
      </c>
      <c r="G29" s="24" t="s">
        <v>225</v>
      </c>
      <c r="H29" s="23" t="s">
        <v>226</v>
      </c>
      <c r="I29" s="24" t="s">
        <v>225</v>
      </c>
      <c r="J29" s="23" t="s">
        <v>226</v>
      </c>
      <c r="K29" s="24" t="s">
        <v>226</v>
      </c>
      <c r="L29" s="23"/>
      <c r="M29" s="26" t="s">
        <v>255</v>
      </c>
      <c r="N29" s="24">
        <v>2018</v>
      </c>
      <c r="O29" s="51" t="s">
        <v>407</v>
      </c>
      <c r="P29" s="52"/>
      <c r="Q29" s="52"/>
      <c r="R29" s="52"/>
      <c r="S29" s="52"/>
      <c r="T29" s="53"/>
      <c r="U29" s="5">
        <f>COUNTIFS(   D5:D1441,"Investigación clínica en enfermería, fisioterapia y terapia ocupacional")</f>
        <v>9</v>
      </c>
      <c r="V29" s="5">
        <f>COUNTIFS(   D5:D1441,"Investigación clínica en enfermería, fisioterapia y terapia ocupacional",F5:F1441,"Hombre")</f>
        <v>4</v>
      </c>
      <c r="W29" s="5">
        <f>COUNTIFS(   D5:D1441,"Investigación clínica en enfermería, fisioterapia y terapia ocupacional",F5:F1441,"Mujer")</f>
        <v>5</v>
      </c>
      <c r="X29" s="19">
        <f>COUNTIFS(   A5:A1441,"2018", D5:D1441,"Investigación clínica en enfermería, fisioterapia y terapia ocupacional")</f>
        <v>0</v>
      </c>
      <c r="Y29" s="5">
        <f>COUNTIFS(   A5:A1441,"2019", D5:D1441,"Investigación clínica en enfermería, fisioterapia y terapia ocupacional")</f>
        <v>1</v>
      </c>
      <c r="Z29" s="5">
        <f>COUNTIFS(   A5:A1441,"2020", D5:D1441,"Investigación clínica en enfermería, fisioterapia y terapia ocupacional")</f>
        <v>2</v>
      </c>
      <c r="AA29" s="5">
        <f>COUNTIFS(   A5:A1441,"2021", D5:D1441,"Investigación clínica en enfermería, fisioterapia y terapia ocupacional")</f>
        <v>6</v>
      </c>
      <c r="AB29" s="5">
        <f>COUNTIFS(  A5:A1441,"2022", D5:D1441,"Investigación clínica en enfermería, fisioterapia y terapia ocupacional")</f>
        <v>0</v>
      </c>
      <c r="AC29" s="19">
        <f>COUNTIFS(   N5:N1441,"2018", D5:D1441,"Investigación clínica en enfermería, fisioterapia y terapia ocupacional")</f>
        <v>0</v>
      </c>
      <c r="AD29" s="5">
        <f>COUNTIFS(   N5:N1441,"2019", D5:D1441,"Investigación clínica en enfermería, fisioterapia y terapia ocupacional")</f>
        <v>1</v>
      </c>
      <c r="AE29" s="5">
        <f>COUNTIFS(   N5:N1441,"2020", D5:D1441,"Investigación clínica en enfermería, fisioterapia y terapia ocupacional")</f>
        <v>1</v>
      </c>
      <c r="AF29" s="5">
        <f>COUNTIFS(   N5:N1441,"2021", D5:D1441,"Investigación clínica en enfermería, fisioterapia y terapia ocupacional")</f>
        <v>2</v>
      </c>
      <c r="AG29" s="5">
        <f>COUNTIFS(   N5:N1441,"2022", D5:D1441,"Investigación clínica en enfermería, fisioterapia y terapia ocupacional")</f>
        <v>5</v>
      </c>
      <c r="AH29" s="5">
        <f>COUNTIFS(   D5:D1441,"Investigación clínica en enfermería, fisioterapia y terapia ocupacional",G5:G1441,"Sí")</f>
        <v>1</v>
      </c>
      <c r="AI29" s="5">
        <f>COUNTIFS(   D5:D1441,"Investigación clínica en enfermería, fisioterapia y terapia ocupacional",G5:G1441,"No")</f>
        <v>8</v>
      </c>
      <c r="AJ29" s="5">
        <f>SUMIFS( E5:E1441, D5:D1441,"Investigación clínica en enfermería, fisioterapia y terapia ocupacional",G5:G1441,"Sí")</f>
        <v>2</v>
      </c>
      <c r="AK29" s="5">
        <f>SUMIFS( E5:E1441, D5:D1441,"Investigación clínica en enfermería, fisioterapia y terapia ocupacional",G5:G1441,"No")</f>
        <v>86</v>
      </c>
      <c r="AL29" s="5">
        <f>COUNTIFS(   D5:D1441,"Investigación clínica en enfermería, fisioterapia y terapia ocupacional",H5:H1441,"Sí")</f>
        <v>8</v>
      </c>
      <c r="AM29" s="5">
        <f>COUNTIFS(   D5:D1441,"Investigación clínica en enfermería, fisioterapia y terapia ocupacional",I5:I1441,"Sí")</f>
        <v>3</v>
      </c>
      <c r="AN29" s="5">
        <f>COUNTIFS(   D5:D1441,"Investigación clínica en enfermería, fisioterapia y terapia ocupacional",I5:I1441,"No")</f>
        <v>6</v>
      </c>
      <c r="AO29" s="5">
        <f>SUMIFS( E5:E1441, D5:D1441,"Investigación clínica en enfermería, fisioterapia y terapia ocupacional",I5:I1441,"Sí")</f>
        <v>45</v>
      </c>
      <c r="AP29" s="5">
        <f>SUMIFS( E5:E1441, D5:D1441,"Investigación clínica en enfermería, fisioterapia y terapia ocupacional",I5:I1441,"No")</f>
        <v>43</v>
      </c>
      <c r="AQ29" s="5">
        <f>COUNTIFS(   D5:D1441,"Investigación clínica en enfermería, fisioterapia y terapia ocupacional",J5:J1441,"Sí")</f>
        <v>9</v>
      </c>
      <c r="AR29" s="5">
        <f>COUNTIFS(   D5:D1441,"Investigación clínica en enfermería, fisioterapia y terapia ocupacional",K5:K1441,"Sí")</f>
        <v>0</v>
      </c>
      <c r="AS29" s="5">
        <f>COUNTIFS(   D5:D1441,"Investigación clínica en enfermería, fisioterapia y terapia ocupacional",L5:L1441,"Sí")</f>
        <v>0</v>
      </c>
      <c r="AT29" s="5">
        <f>SUMIFS( E5:E1441, D5:D1441,"Investigación clínica en enfermería, fisioterapia y terapia ocupacional")</f>
        <v>88</v>
      </c>
      <c r="AU29" s="5">
        <f>SUMIFS( E5:E1441, F5:F1441,"Hombre", D5:D1441,"Investigación clínica en enfermería, fisioterapia y terapia ocupacional")</f>
        <v>19</v>
      </c>
      <c r="AV29" s="5">
        <f>SUMIFS( E5:E1441, F5:F1441,"Mujer", D5:D1441,"Investigación clínica en enfermería, fisioterapia y terapia ocupacional")</f>
        <v>69</v>
      </c>
      <c r="AW29" s="19">
        <f>SUMIFS( E5:E1441, A5:A1441,"2018", D5:D1441,"Investigación clínica en enfermería, fisioterapia y terapia ocupacional")</f>
        <v>0</v>
      </c>
      <c r="AX29" s="5">
        <f>SUMIFS( E5:E1441, A5:A1441,"2019", D5:D1441,"Investigación clínica en enfermería, fisioterapia y terapia ocupacional")</f>
        <v>2</v>
      </c>
      <c r="AY29" s="5">
        <f>SUMIFS( E5:E1441, A5:A1441,"2020", D5:D1441,"Investigación clínica en enfermería, fisioterapia y terapia ocupacional")</f>
        <v>2</v>
      </c>
      <c r="AZ29" s="5">
        <f>SUMIFS( E5:E1441, A5:A1441,"2021", D5:D1441,"Investigación clínica en enfermería, fisioterapia y terapia ocupacional")</f>
        <v>84</v>
      </c>
      <c r="BA29" s="5">
        <f>SUMIFS( E5:E1441, A5:A1441,"2022", D5:D1441,"Investigación clínica en enfermería, fisioterapia y terapia ocupacional")</f>
        <v>0</v>
      </c>
      <c r="BB29" s="19">
        <f>SUMIFS( E5:E1441, N5:N1441,"2018", D5:D1441,"Investigación clínica en enfermería, fisioterapia y terapia ocupacional")</f>
        <v>0</v>
      </c>
      <c r="BC29" s="5">
        <f>SUMIFS( E5:E1441, N5:N1441,"2019", D5:D1441,"Investigación clínica en enfermería, fisioterapia y terapia ocupacional")</f>
        <v>2</v>
      </c>
      <c r="BD29" s="5">
        <f>SUMIFS( E5:E1441, N5:N1441,"2020", D5:D1441,"Investigación clínica en enfermería, fisioterapia y terapia ocupacional")</f>
        <v>0</v>
      </c>
      <c r="BE29" s="5">
        <f>SUMIFS( E5:E1441, N5:N1441,"2021", D5:D1441,"Investigación clínica en enfermería, fisioterapia y terapia ocupacional")</f>
        <v>6</v>
      </c>
      <c r="BF29" s="5">
        <f>SUMIFS( E5:E1441, N5:N1441,"2022", D5:D1441,"Investigación clínica en enfermería, fisioterapia y terapia ocupacional")</f>
        <v>80</v>
      </c>
      <c r="BG29" s="14">
        <f>AVERAGEIFS( E5:E1441, D5:D1441,"Investigación clínica en enfermería, fisioterapia y terapia ocupacional")</f>
        <v>11</v>
      </c>
      <c r="BH29" s="14"/>
      <c r="BI29" s="14"/>
      <c r="BJ29" s="14"/>
      <c r="BK29" s="14"/>
      <c r="BL29" s="37"/>
      <c r="BM29" s="14"/>
      <c r="BN29" s="14"/>
      <c r="BO29" s="14"/>
      <c r="BP29" s="14"/>
      <c r="BQ29" s="14"/>
      <c r="BR29" s="14"/>
    </row>
    <row r="30" spans="1:70" ht="15" customHeight="1">
      <c r="A30" s="24">
        <v>2018</v>
      </c>
      <c r="B30" s="24" t="s">
        <v>136</v>
      </c>
      <c r="C30" s="24" t="s">
        <v>146</v>
      </c>
      <c r="D30" s="24" t="s">
        <v>256</v>
      </c>
      <c r="E30" s="23">
        <v>25</v>
      </c>
      <c r="F30" s="24" t="s">
        <v>207</v>
      </c>
      <c r="G30" s="24" t="s">
        <v>225</v>
      </c>
      <c r="H30" s="23" t="s">
        <v>226</v>
      </c>
      <c r="I30" s="24" t="s">
        <v>226</v>
      </c>
      <c r="J30" s="23" t="s">
        <v>226</v>
      </c>
      <c r="K30" s="24" t="s">
        <v>226</v>
      </c>
      <c r="L30" s="23"/>
      <c r="M30" s="26" t="s">
        <v>255</v>
      </c>
      <c r="N30" s="24">
        <v>2018</v>
      </c>
      <c r="O30" s="67" t="s">
        <v>25</v>
      </c>
      <c r="P30" s="68"/>
      <c r="Q30" s="68"/>
      <c r="R30" s="68"/>
      <c r="S30" s="68"/>
      <c r="T30" s="69"/>
      <c r="U30" s="5">
        <f>COUNTIFS(   D4:D1440,"Radiología y medicina física")</f>
        <v>19</v>
      </c>
      <c r="V30" s="5">
        <f>COUNTIFS(   D4:D1440,"Radiología y medicina física",F4:F1440,"Hombre")</f>
        <v>7</v>
      </c>
      <c r="W30" s="5">
        <f>COUNTIFS(   D4:D1440,"Radiología y medicina física",F4:F1440,"Mujer")</f>
        <v>12</v>
      </c>
      <c r="X30" s="19">
        <f>COUNTIFS(   A4:A1440,"2018", D4:D1440,"Radiología y medicina física")</f>
        <v>4</v>
      </c>
      <c r="Y30" s="5">
        <f>COUNTIFS(   A4:A1440,"2019", D4:D1440,"Radiología y medicina física")</f>
        <v>5</v>
      </c>
      <c r="Z30" s="5">
        <f>COUNTIFS(   A4:A1440,"2020", D4:D1440,"Radiología y medicina física")</f>
        <v>7</v>
      </c>
      <c r="AA30" s="5">
        <f>COUNTIFS(   A4:A1440,"2021", D4:D1440,"Radiología y medicina física")</f>
        <v>3</v>
      </c>
      <c r="AB30" s="5">
        <f>COUNTIFS(  A4:A1440,"2022", D4:D1440,"Radiología y medicina física")</f>
        <v>0</v>
      </c>
      <c r="AC30" s="19">
        <f>COUNTIFS(   N4:N1440,"2018", D4:D1440,"Radiología y medicina física")</f>
        <v>2</v>
      </c>
      <c r="AD30" s="5">
        <f>COUNTIFS(   N4:N1440,"2019", D4:D1440,"Radiología y medicina física")</f>
        <v>3</v>
      </c>
      <c r="AE30" s="5">
        <f>COUNTIFS(   N4:N1440,"2020", D4:D1440,"Radiología y medicina física")</f>
        <v>5</v>
      </c>
      <c r="AF30" s="5">
        <f>COUNTIFS(   N4:N1440,"2021", D4:D1440,"Radiología y medicina física")</f>
        <v>7</v>
      </c>
      <c r="AG30" s="5">
        <f>COUNTIFS(   N4:N1440,"2022", D4:D1440,"Radiología y medicina física")</f>
        <v>2</v>
      </c>
      <c r="AH30" s="5">
        <f>COUNTIFS(   D4:D1440,"Radiología y medicina física",G4:G1440,"Sí")</f>
        <v>0</v>
      </c>
      <c r="AI30" s="5">
        <f>COUNTIFS(   D4:D1440,"Radiología y medicina física",G4:G1440,"No")</f>
        <v>19</v>
      </c>
      <c r="AJ30" s="5">
        <f>SUMIFS( E4:E1440, D4:D1440,"Radiología y medicina física",G4:G1440,"Sí")</f>
        <v>0</v>
      </c>
      <c r="AK30" s="5">
        <f>SUMIFS( E4:E1440, D4:D1440,"Radiología y medicina física",G4:G1440,"No")</f>
        <v>127</v>
      </c>
      <c r="AL30" s="5">
        <f>COUNTIFS(   D4:D1440,"Radiología y medicina física",H4:H1440,"Sí")</f>
        <v>18</v>
      </c>
      <c r="AM30" s="5">
        <f>COUNTIFS(   D4:D1440,"Radiología y medicina física",I4:I1440,"Sí")</f>
        <v>6</v>
      </c>
      <c r="AN30" s="5">
        <f>COUNTIFS(   D4:D1440,"Radiología y medicina física",I4:I1440,"No")</f>
        <v>13</v>
      </c>
      <c r="AO30" s="5">
        <f>SUMIFS( E4:E1440, D4:D1440,"Radiología y medicina física",I4:I1440,"Sí")</f>
        <v>56</v>
      </c>
      <c r="AP30" s="5">
        <f>SUMIFS( E4:E1440, D4:D1440,"Radiología y medicina física",I4:I1440,"No")</f>
        <v>71</v>
      </c>
      <c r="AQ30" s="5">
        <f>COUNTIFS(   D4:D1440,"Radiología y medicina física",J4:J1440,"Sí")</f>
        <v>19</v>
      </c>
      <c r="AR30" s="5">
        <f>COUNTIFS(   D4:D1440,"Radiología y medicina física",K4:K1440,"Sí")</f>
        <v>7</v>
      </c>
      <c r="AS30" s="5">
        <f>COUNTIFS(   D4:D1440,"Radiología y medicina física",L4:L1440,"Sí")</f>
        <v>0</v>
      </c>
      <c r="AT30" s="5">
        <f>SUMIFS( E4:E1440, D4:D1440,"Radiología y medicina física")</f>
        <v>127</v>
      </c>
      <c r="AU30" s="5">
        <f>SUMIFS( E4:E1440, F4:F1440,"Hombre", D4:D1440,"Radiología y medicina física")</f>
        <v>54</v>
      </c>
      <c r="AV30" s="5">
        <f>SUMIFS( E4:E1440, F4:F1440,"Mujer", D4:D1440,"Radiología y medicina física")</f>
        <v>73</v>
      </c>
      <c r="AW30" s="19">
        <f>SUMIFS( E4:E1440, A4:A1440,"2018", D4:D1440,"Radiología y medicina física")</f>
        <v>19</v>
      </c>
      <c r="AX30" s="5">
        <f>SUMIFS( E4:E1440, A4:A1440,"2019", D4:D1440,"Radiología y medicina física")</f>
        <v>43</v>
      </c>
      <c r="AY30" s="5">
        <f>SUMIFS( E4:E1440, A4:A1440,"2020", D4:D1440,"Radiología y medicina física")</f>
        <v>47</v>
      </c>
      <c r="AZ30" s="5">
        <f>SUMIFS( E4:E1440, A4:A1440,"2021", D4:D1440,"Radiología y medicina física")</f>
        <v>18</v>
      </c>
      <c r="BA30" s="5">
        <f>SUMIFS( E4:E1440, A4:A1440,"2022", D4:D1440,"Radiología y medicina física")</f>
        <v>0</v>
      </c>
      <c r="BB30" s="19">
        <f>SUMIFS( E4:E1440, N4:N1440,"2018", D4:D1440,"Radiología y medicina física")</f>
        <v>7</v>
      </c>
      <c r="BC30" s="5">
        <f>SUMIFS( E4:E1440, N4:N1440,"2019", D4:D1440,"Radiología y medicina física")</f>
        <v>41</v>
      </c>
      <c r="BD30" s="5">
        <f>SUMIFS( E4:E1440, N4:N1440,"2020", D4:D1440,"Radiología y medicina física")</f>
        <v>42</v>
      </c>
      <c r="BE30" s="5">
        <f>SUMIFS( E4:E1440, N4:N1440,"2021", D4:D1440,"Radiología y medicina física")</f>
        <v>25</v>
      </c>
      <c r="BF30" s="5">
        <f>SUMIFS( E4:E1440, N4:N1440,"2022", D4:D1440,"Radiología y medicina física")</f>
        <v>12</v>
      </c>
      <c r="BG30" s="14">
        <f>AVERAGEIFS( E4:E1440, D4:D1440,"Radiología y medicina física")</f>
        <v>7.4705882352941178</v>
      </c>
      <c r="BH30" s="14">
        <v>0</v>
      </c>
      <c r="BI30" s="14">
        <v>0</v>
      </c>
      <c r="BJ30" s="14">
        <f>AVERAGEIFS( E4:E1440, A4:A1440,"2020", D4:D1440,"Radiología y medicina física")</f>
        <v>7.833333333333333</v>
      </c>
      <c r="BK30" s="14">
        <f>AVERAGEIFS( E4:E1440, A4:A1440,"2021", D4:D1440,"Radiología y medicina física")</f>
        <v>6</v>
      </c>
      <c r="BL30" s="37" t="e">
        <f>AVERAGEIFS( E4:E1440, A4:A1440,"2022", D4:D1440,"Radiología y medicina física")</f>
        <v>#DIV/0!</v>
      </c>
      <c r="BM30" s="14">
        <v>20.8</v>
      </c>
      <c r="BN30" s="14">
        <v>0</v>
      </c>
      <c r="BO30" s="14">
        <v>0</v>
      </c>
      <c r="BP30" s="14">
        <v>19</v>
      </c>
      <c r="BQ30" s="14">
        <v>27.5</v>
      </c>
      <c r="BR30" s="14">
        <v>15</v>
      </c>
    </row>
    <row r="31" spans="1:70" ht="15" customHeight="1">
      <c r="A31" s="24">
        <v>2018</v>
      </c>
      <c r="B31" s="24" t="s">
        <v>136</v>
      </c>
      <c r="C31" s="24" t="s">
        <v>152</v>
      </c>
      <c r="D31" s="24" t="s">
        <v>155</v>
      </c>
      <c r="E31" s="28">
        <v>30</v>
      </c>
      <c r="F31" s="24" t="s">
        <v>207</v>
      </c>
      <c r="G31" s="24" t="s">
        <v>225</v>
      </c>
      <c r="H31" s="23" t="s">
        <v>226</v>
      </c>
      <c r="I31" s="24" t="s">
        <v>225</v>
      </c>
      <c r="J31" s="23" t="s">
        <v>226</v>
      </c>
      <c r="K31" s="24" t="s">
        <v>226</v>
      </c>
      <c r="L31" s="23"/>
      <c r="M31" s="26" t="s">
        <v>257</v>
      </c>
      <c r="N31" s="24">
        <v>2018</v>
      </c>
      <c r="O31" s="86" t="s">
        <v>47</v>
      </c>
      <c r="P31" s="87"/>
      <c r="Q31" s="87"/>
      <c r="R31" s="87"/>
      <c r="S31" s="87"/>
      <c r="T31" s="88"/>
      <c r="U31" s="4">
        <f>COUNTIFS(   C4:C1440,"Nutrición y Ciencias de los Alimentos")</f>
        <v>29</v>
      </c>
      <c r="V31" s="4">
        <f>COUNTIFS(   C4:C1440,"Nutrición y Ciencias de los Alimentos",F4:F1440,"Hombre")</f>
        <v>11</v>
      </c>
      <c r="W31" s="4">
        <f>COUNTIFS(   C4:C1440,"Nutrición y Ciencias de los Alimentos",F4:F1440,"Mujer")</f>
        <v>18</v>
      </c>
      <c r="X31" s="18">
        <f>COUNTIFS(   A4:A1440,"2018", C4:C1440,"Nutrición y Ciencias de los Alimentos")</f>
        <v>7</v>
      </c>
      <c r="Y31" s="4">
        <f>COUNTIFS(   A4:A1440,"2019", C4:C1440,"Nutrición y Ciencias de los Alimentos")</f>
        <v>7</v>
      </c>
      <c r="Z31" s="4">
        <f>COUNTIFS(   A4:A1440,"2020", C4:C1440,"Nutrición y Ciencias de los Alimentos")</f>
        <v>7</v>
      </c>
      <c r="AA31" s="4">
        <f>COUNTIFS(   A4:A1440,"2021", C4:C1440,"Nutrición y Ciencias de los Alimentos")</f>
        <v>8</v>
      </c>
      <c r="AB31" s="4">
        <f>COUNTIFS(   A4:A1440,"2022", C4:C1440,"Nutrición y Ciencias de los Alimentos")</f>
        <v>0</v>
      </c>
      <c r="AC31" s="18">
        <f>COUNTIFS(   N4:N1440,"2018", C4:C1440,"Nutrición y Ciencias de los Alimentos")</f>
        <v>2</v>
      </c>
      <c r="AD31" s="4">
        <f>COUNTIFS(   N4:N1440,"2019", C4:C1440,"Nutrición y Ciencias de los Alimentos")</f>
        <v>6</v>
      </c>
      <c r="AE31" s="4">
        <f>COUNTIFS(   N4:N1440,"2020", C4:C1440,"Nutrición y Ciencias de los Alimentos")</f>
        <v>10</v>
      </c>
      <c r="AF31" s="4">
        <f>COUNTIFS(   N4:N1440,"2021", C4:C1440,"Nutrición y Ciencias de los Alimentos")</f>
        <v>5</v>
      </c>
      <c r="AG31" s="4">
        <f>COUNTIFS(   N4:N1440,"2022", C4:C1440,"Nutrición y Ciencias de los Alimentos")</f>
        <v>6</v>
      </c>
      <c r="AH31" s="4">
        <f>COUNTIFS(   C4:C1440,"Nutrición y Ciencias de los Alimentos",G4:G1440,"Sí")</f>
        <v>0</v>
      </c>
      <c r="AI31" s="4">
        <f>COUNTIFS(   C4:C1440,"Nutrición y Ciencias de los Alimentos",G4:G1440,"No")</f>
        <v>29</v>
      </c>
      <c r="AJ31" s="4">
        <f>SUMIFS( E4:E1440, C4:C1440,"Nutrición y Ciencias de los Alimentos",G4:G1440,"Sí")</f>
        <v>0</v>
      </c>
      <c r="AK31" s="4">
        <f>SUMIFS( E4:E1440, C4:C1440,"Nutrición y Ciencias de los Alimentos",G4:G1440,"No")</f>
        <v>222</v>
      </c>
      <c r="AL31" s="4">
        <f>COUNTIFS(   C4:C1440,"Nutrición y Ciencias de los Alimentos",H4:H1440,"Sí")</f>
        <v>26</v>
      </c>
      <c r="AM31" s="4">
        <f>COUNTIFS(   C4:C1440,"Nutrición y Ciencias de los Alimentos",I4:I1440,"Sí")</f>
        <v>9</v>
      </c>
      <c r="AN31" s="4">
        <f>COUNTIFS(   C4:C1440,"Nutrición y Ciencias de los Alimentos",I4:I1440,"No")</f>
        <v>20</v>
      </c>
      <c r="AO31" s="4">
        <f>SUMIFS( E4:E1440, C4:C1440,"Nutrición y Ciencias de los Alimentos",I4:I1440,"Sí")</f>
        <v>169</v>
      </c>
      <c r="AP31" s="4">
        <f>SUMIFS( E4:E1440, C4:C1440,"Nutrición y Ciencias de los Alimentos",I4:I1440,"No")</f>
        <v>53</v>
      </c>
      <c r="AQ31" s="4">
        <f>COUNTIFS(   C4:C1440,"Nutrición y Ciencias de los Alimentos",J4:J1440,"Sí")</f>
        <v>29</v>
      </c>
      <c r="AR31" s="4">
        <f>COUNTIFS(   C4:C1440,"Nutrición y Ciencias de los Alimentos",K4:K1440,"Sí")</f>
        <v>10</v>
      </c>
      <c r="AS31" s="4">
        <f>COUNTIFS(   C4:C1440,"Nutrición y Ciencias de los Alimentos",L4:L1440,"Sí")</f>
        <v>0</v>
      </c>
      <c r="AT31" s="4">
        <f>SUMIFS( E4:E1440, C4:C1440,"Nutrición y Ciencias de los Alimentos")</f>
        <v>222</v>
      </c>
      <c r="AU31" s="4">
        <f>SUMIFS( E4:E1440, F4:F1440,"Hombre", C4:C1440,"Nutrición y Ciencias de los Alimentos")</f>
        <v>109</v>
      </c>
      <c r="AV31" s="4">
        <f>SUMIFS( E4:E1440, F4:F1440,"Mujer", C4:C1440,"Nutrición y Ciencias de los Alimentos")</f>
        <v>113</v>
      </c>
      <c r="AW31" s="18">
        <f>SUMIFS( E4:E1440, A4:A1440,"2018", C4:C1440,"Nutrición y Ciencias de los Alimentos")</f>
        <v>75</v>
      </c>
      <c r="AX31" s="4">
        <f>SUMIFS( E4:E1440, A4:A1440,"2019", C4:C1440,"Nutrición y Ciencias de los Alimentos")</f>
        <v>31</v>
      </c>
      <c r="AY31" s="4">
        <f>SUMIFS( E4:E1440, A4:A1440,"2020", C4:C1440,"Nutrición y Ciencias de los Alimentos")</f>
        <v>41</v>
      </c>
      <c r="AZ31" s="4">
        <f>SUMIFS( E4:E1440, A4:A1440,"2021", C4:C1440,"Nutrición y Ciencias de los Alimentos")</f>
        <v>75</v>
      </c>
      <c r="BA31" s="4">
        <f>SUMIFS( E4:E1440, A4:A1440,"2022", C4:C1440,"Nutrición y Ciencias de los Alimentos")</f>
        <v>0</v>
      </c>
      <c r="BB31" s="18">
        <f>SUMIFS( E4:E1440, N4:N1440,"2018", C4:C1440,"Nutrición y Ciencias de los Alimentos")</f>
        <v>33</v>
      </c>
      <c r="BC31" s="4">
        <f>SUMIFS( E4:E1440, N4:N1440,"2019", C4:C1440,"Nutrición y Ciencias de los Alimentos")</f>
        <v>44</v>
      </c>
      <c r="BD31" s="4">
        <f>SUMIFS( E4:E1440, N4:N1440,"2020", C4:C1440,"Nutrición y Ciencias de los Alimentos")</f>
        <v>62</v>
      </c>
      <c r="BE31" s="4">
        <f>SUMIFS( E4:E1440, N4:N1440,"2021", C4:C1440,"Nutrición y Ciencias de los Alimentos")</f>
        <v>38</v>
      </c>
      <c r="BF31" s="4">
        <f>SUMIFS( E4:E1440, N4:N1440,"2022", C4:C1440,"Nutrición y Ciencias de los Alimentos")</f>
        <v>45</v>
      </c>
      <c r="BG31" s="13">
        <f>AVERAGEIFS( E4:E1440, C4:C1440,"Nutrición y Ciencias de los Alimentos")</f>
        <v>8.5384615384615383</v>
      </c>
      <c r="BH31" s="13">
        <f>AVERAGEIFS( E4:E1440, A4:A1440,"2018", C4:C1440,"Nutrición y Ciencias de los Alimentos")</f>
        <v>12.5</v>
      </c>
      <c r="BI31" s="13">
        <f>AVERAGEIFS( E4:E1440, A4:A1440,"2019", C4:C1440,"Nutrición y Ciencias de los Alimentos")</f>
        <v>4.4285714285714288</v>
      </c>
      <c r="BJ31" s="13">
        <f>AVERAGEIFS( E4:E1440, A4:A1440,"2020", C4:C1440,"Nutrición y Ciencias de los Alimentos")</f>
        <v>8.1999999999999993</v>
      </c>
      <c r="BK31" s="13">
        <f>AVERAGEIFS( E4:E1440, A4:A1440,"2021", C4:C1440,"Nutrición y Ciencias de los Alimentos")</f>
        <v>9.375</v>
      </c>
      <c r="BL31" s="37" t="e">
        <f>AVERAGEIFS( E4:E1440, A4:A1440,"2022", C4:C1440,"Nutrición y Ciencias de los Alimentos")</f>
        <v>#DIV/0!</v>
      </c>
      <c r="BM31" s="13">
        <f>AVERAGE(AT32:AT34)</f>
        <v>74</v>
      </c>
      <c r="BN31" s="13">
        <f>AVERAGE(AW32:AW34)</f>
        <v>25</v>
      </c>
      <c r="BO31" s="13">
        <f>AVERAGE(AX32:AX34)</f>
        <v>10.333333333333334</v>
      </c>
      <c r="BP31" s="13">
        <f>AVERAGE(AY32:AY34)</f>
        <v>13.666666666666666</v>
      </c>
      <c r="BQ31" s="13">
        <f>AVERAGE(AZ32:AZ34)</f>
        <v>25</v>
      </c>
      <c r="BR31" s="13">
        <f>AVERAGE(BA32:BA34)</f>
        <v>0</v>
      </c>
    </row>
    <row r="32" spans="1:70" ht="15" customHeight="1">
      <c r="A32" s="24">
        <v>2018</v>
      </c>
      <c r="B32" s="24" t="s">
        <v>78</v>
      </c>
      <c r="C32" s="24" t="s">
        <v>80</v>
      </c>
      <c r="D32" s="24" t="s">
        <v>84</v>
      </c>
      <c r="E32" s="23">
        <v>7</v>
      </c>
      <c r="F32" s="24" t="s">
        <v>211</v>
      </c>
      <c r="G32" s="24" t="s">
        <v>225</v>
      </c>
      <c r="H32" s="23" t="s">
        <v>226</v>
      </c>
      <c r="I32" s="24" t="s">
        <v>226</v>
      </c>
      <c r="J32" s="23" t="s">
        <v>226</v>
      </c>
      <c r="K32" s="24" t="s">
        <v>226</v>
      </c>
      <c r="L32" s="23"/>
      <c r="M32" s="26" t="s">
        <v>257</v>
      </c>
      <c r="N32" s="24">
        <v>2018</v>
      </c>
      <c r="O32" s="67" t="s">
        <v>34</v>
      </c>
      <c r="P32" s="68"/>
      <c r="Q32" s="68"/>
      <c r="R32" s="68"/>
      <c r="S32" s="68"/>
      <c r="T32" s="69"/>
      <c r="U32" s="5">
        <f>COUNTIFS(   D4:D1440,"Bioquímica nutricional")</f>
        <v>3</v>
      </c>
      <c r="V32" s="5">
        <f>COUNTIFS(   D4:D1440,"Bioquímica nutricional",F4:F1440,"Hombre")</f>
        <v>1</v>
      </c>
      <c r="W32" s="5">
        <f>COUNTIFS(   D4:D1440,"Bioquímica nutricional",F4:F1440,"Mujer")</f>
        <v>2</v>
      </c>
      <c r="X32" s="19">
        <f>COUNTIFS(   A4:A1440,"2018", D4:D1440,"Bioquímica nutricional")</f>
        <v>1</v>
      </c>
      <c r="Y32" s="5">
        <f>COUNTIFS(   A4:A1440,"2019", D4:D1440,"Bioquímica nutricional")</f>
        <v>0</v>
      </c>
      <c r="Z32" s="5">
        <f>COUNTIFS(   A4:A1440,"2020", D4:D1440,"Bioquímica nutricional")</f>
        <v>0</v>
      </c>
      <c r="AA32" s="5">
        <f>COUNTIFS(   A4:A1440,"2021", D4:D1440,"Bioquímica nutricional")</f>
        <v>2</v>
      </c>
      <c r="AB32" s="5">
        <f>COUNTIFS(  A4:A1440,"2022", D4:D1440,"Bioquímica nutricional")</f>
        <v>0</v>
      </c>
      <c r="AC32" s="19">
        <f>COUNTIFS(   N4:N1440,"2018", D4:D1440,"Bioquímica nutricional")</f>
        <v>1</v>
      </c>
      <c r="AD32" s="5">
        <f>COUNTIFS(   N4:N1440,"2019", D4:D1440,"Bioquímica nutricional")</f>
        <v>0</v>
      </c>
      <c r="AE32" s="5">
        <f>COUNTIFS(   N4:N1440,"2020", D4:D1440,"Bioquímica nutricional")</f>
        <v>0</v>
      </c>
      <c r="AF32" s="5">
        <f>COUNTIFS(   N4:N1440,"2021", D4:D1440,"Bioquímica nutricional")</f>
        <v>1</v>
      </c>
      <c r="AG32" s="5">
        <f>COUNTIFS(   N4:N1440,"2022", D4:D1440,"Bioquímica nutricional")</f>
        <v>1</v>
      </c>
      <c r="AH32" s="5">
        <f>COUNTIFS(   D4:D1440,"Bioquímica nutricional",G4:G1440,"Sí")</f>
        <v>0</v>
      </c>
      <c r="AI32" s="5">
        <f>COUNTIFS(   D4:D1440,"Bioquímica nutricional",G4:G1440,"No")</f>
        <v>3</v>
      </c>
      <c r="AJ32" s="5">
        <f>SUMIFS( E4:E1440, D4:D1440,"Bioquímica nutricional",G4:G1440,"Sí")</f>
        <v>0</v>
      </c>
      <c r="AK32" s="5">
        <f>SUMIFS( E4:E1440, D4:D1440,"Bioquímica nutricional",G4:G1440,"No")</f>
        <v>46</v>
      </c>
      <c r="AL32" s="5">
        <f>COUNTIFS(   D4:D1440,"Bioquímica nutricional",H4:H1440,"Sí")</f>
        <v>3</v>
      </c>
      <c r="AM32" s="5">
        <f>COUNTIFS(   D4:D1440,"Bioquímica nutricional",I4:I1440,"Sí")</f>
        <v>2</v>
      </c>
      <c r="AN32" s="5">
        <f>COUNTIFS(   D4:D1440,"Bioquímica nutricional",I4:I1440,"No")</f>
        <v>1</v>
      </c>
      <c r="AO32" s="5">
        <f>SUMIFS( E4:E1440, D4:D1440,"Bioquímica nutricional",I4:I1440,"Sí")</f>
        <v>40</v>
      </c>
      <c r="AP32" s="5">
        <f>SUMIFS( E4:E1440, D4:D1440,"Bioquímica nutricional",I4:I1440,"No")</f>
        <v>6</v>
      </c>
      <c r="AQ32" s="5">
        <f>COUNTIFS(   D4:D1440,"Bioquímica nutricional",J4:J1440,"Sí")</f>
        <v>3</v>
      </c>
      <c r="AR32" s="5">
        <f>COUNTIFS(   D4:D1440,"Bioquímica nutricional",K4:K1440,"Sí")</f>
        <v>1</v>
      </c>
      <c r="AS32" s="5">
        <f>COUNTIFS(   D4:D1440,"Bioquímica nutricional",L4:L1440,"Sí")</f>
        <v>0</v>
      </c>
      <c r="AT32" s="5">
        <f>SUMIFS( E4:E1440, D4:D1440,"Bioquímica nutricional")</f>
        <v>46</v>
      </c>
      <c r="AU32" s="5">
        <f>SUMIFS( E4:E1440, F4:F1440,"Hombre", D4:D1440,"Bioquímica nutricional")</f>
        <v>26</v>
      </c>
      <c r="AV32" s="5">
        <f>SUMIFS( E4:E1440, F4:F1440,"Mujer", D4:D1440,"Bioquímica nutricional")</f>
        <v>20</v>
      </c>
      <c r="AW32" s="19">
        <f>SUMIFS( E4:E1440, A4:A1440,"2018", D4:D1440,"Bioquímica nutricional")</f>
        <v>14</v>
      </c>
      <c r="AX32" s="5">
        <f>SUMIFS( E4:E1440, A4:A1440,"2019", D4:D1440,"Bioquímica nutricional")</f>
        <v>0</v>
      </c>
      <c r="AY32" s="5">
        <f>SUMIFS( E4:E1440, A4:A1440,"2020", D4:D1440,"Bioquímica nutricional")</f>
        <v>0</v>
      </c>
      <c r="AZ32" s="5">
        <f>SUMIFS( E4:E1440, A4:A1440,"2021", D4:D1440,"Bioquímica nutricional")</f>
        <v>32</v>
      </c>
      <c r="BA32" s="5">
        <f>SUMIFS( E4:E1440, A4:A1440,"2022", D4:D1440,"Bioquímica nutricional")</f>
        <v>0</v>
      </c>
      <c r="BB32" s="19">
        <f>SUMIFS( E4:E1440, N4:N1440,"2018", D4:D1440,"Bioquímica nutricional")</f>
        <v>14</v>
      </c>
      <c r="BC32" s="5">
        <f>SUMIFS( E4:E1440, N4:N1440,"2019", D4:D1440,"Bioquímica nutricional")</f>
        <v>0</v>
      </c>
      <c r="BD32" s="5">
        <f>SUMIFS( E4:E1440, N4:N1440,"2020", D4:D1440,"Bioquímica nutricional")</f>
        <v>0</v>
      </c>
      <c r="BE32" s="5">
        <f>SUMIFS( E4:E1440, N4:N1440,"2021", D4:D1440,"Bioquímica nutricional")</f>
        <v>26</v>
      </c>
      <c r="BF32" s="5">
        <f>SUMIFS( E4:E1440, N4:N1440,"2022", D4:D1440,"Bioquímica nutricional")</f>
        <v>6</v>
      </c>
      <c r="BG32" s="14">
        <f>AVERAGEIFS( E4:E1440, D4:D1440,"Bioquímica nutricional")</f>
        <v>15.333333333333334</v>
      </c>
      <c r="BH32" s="14">
        <v>0</v>
      </c>
      <c r="BI32" s="14">
        <v>0</v>
      </c>
      <c r="BJ32" s="14" t="e">
        <f>AVERAGEIFS( E4:E1440, A4:A1440,"2020", D4:D1440,"Bioquímica nutricional")</f>
        <v>#DIV/0!</v>
      </c>
      <c r="BK32" s="14">
        <f>AVERAGEIFS( E4:E1440, A4:A1440,"2021", D4:D1440,"Bioquímica nutricional")</f>
        <v>16</v>
      </c>
      <c r="BL32" s="37">
        <v>0</v>
      </c>
      <c r="BM32" s="14">
        <v>8.5</v>
      </c>
      <c r="BN32" s="14">
        <v>0</v>
      </c>
      <c r="BO32" s="14">
        <v>0</v>
      </c>
      <c r="BP32" s="14">
        <v>7</v>
      </c>
      <c r="BQ32" s="14">
        <v>10</v>
      </c>
      <c r="BR32" s="14">
        <v>0</v>
      </c>
    </row>
    <row r="33" spans="1:70" ht="15" customHeight="1">
      <c r="A33" s="24">
        <v>2018</v>
      </c>
      <c r="B33" s="24" t="s">
        <v>4</v>
      </c>
      <c r="C33" s="24" t="s">
        <v>5</v>
      </c>
      <c r="D33" s="24" t="s">
        <v>7</v>
      </c>
      <c r="E33" s="23">
        <v>12</v>
      </c>
      <c r="F33" s="24" t="s">
        <v>211</v>
      </c>
      <c r="G33" s="24" t="s">
        <v>225</v>
      </c>
      <c r="H33" s="23" t="s">
        <v>226</v>
      </c>
      <c r="I33" s="24" t="s">
        <v>226</v>
      </c>
      <c r="J33" s="23" t="s">
        <v>226</v>
      </c>
      <c r="K33" s="24" t="s">
        <v>226</v>
      </c>
      <c r="L33" s="23"/>
      <c r="M33" s="26" t="s">
        <v>257</v>
      </c>
      <c r="N33" s="24">
        <v>2018</v>
      </c>
      <c r="O33" s="67" t="s">
        <v>33</v>
      </c>
      <c r="P33" s="68"/>
      <c r="Q33" s="68"/>
      <c r="R33" s="68"/>
      <c r="S33" s="68"/>
      <c r="T33" s="69"/>
      <c r="U33" s="5">
        <f>COUNTIFS(   D4:D1440,"Estudios nutricionales. Diseño, calidad y seguridad de los alimentos")</f>
        <v>11</v>
      </c>
      <c r="V33" s="5">
        <f>COUNTIFS(   D4:D1440,"Estudios nutricionales. Diseño, calidad y seguridad de los alimentos",F4:F1440,"Hombre")</f>
        <v>4</v>
      </c>
      <c r="W33" s="5">
        <f>COUNTIFS(   D4:D1440,"Estudios nutricionales. Diseño, calidad y seguridad de los alimentos",F4:F1440,"Mujer")</f>
        <v>7</v>
      </c>
      <c r="X33" s="19">
        <f>COUNTIFS(   A4:A1440,"2018", D4:D1440,"Estudios nutricionales. Diseño, calidad y seguridad de los alimentos")</f>
        <v>3</v>
      </c>
      <c r="Y33" s="5">
        <f>COUNTIFS(   A4:A1440,"2019", D4:D1440,"Estudios nutricionales. Diseño, calidad y seguridad de los alimentos")</f>
        <v>2</v>
      </c>
      <c r="Z33" s="5">
        <f>COUNTIFS(   A4:A1440,"2020", D4:D1440,"Estudios nutricionales. Diseño, calidad y seguridad de los alimentos")</f>
        <v>2</v>
      </c>
      <c r="AA33" s="5">
        <f>COUNTIFS(   A4:A1440,"2021", D4:D1440,"Estudios nutricionales. Diseño, calidad y seguridad de los alimentos")</f>
        <v>4</v>
      </c>
      <c r="AB33" s="5">
        <f>COUNTIFS(  A4:A1440,"2022", D4:D1440,"Estudios nutricionales. Diseño, calidad y seguridad de los alimentos")</f>
        <v>0</v>
      </c>
      <c r="AC33" s="19">
        <f>COUNTIFS(   N4:N1440,"2018", D4:D1440,"Estudios nutricionales. Diseño, calidad y seguridad de los alimentos")</f>
        <v>0</v>
      </c>
      <c r="AD33" s="5">
        <f>COUNTIFS(   N4:N1440,"2019", D4:D1440,"Estudios nutricionales. Diseño, calidad y seguridad de los alimentos")</f>
        <v>3</v>
      </c>
      <c r="AE33" s="5">
        <f>COUNTIFS(   N4:N1440,"2020", D4:D1440,"Estudios nutricionales. Diseño, calidad y seguridad de los alimentos")</f>
        <v>2</v>
      </c>
      <c r="AF33" s="5">
        <f>COUNTIFS(   N4:N1440,"2021", D4:D1440,"Estudios nutricionales. Diseño, calidad y seguridad de los alimentos")</f>
        <v>2</v>
      </c>
      <c r="AG33" s="5">
        <f>COUNTIFS(   N4:N1440,"2022", D4:D1440,"Estudios nutricionales. Diseño, calidad y seguridad de los alimentos")</f>
        <v>4</v>
      </c>
      <c r="AH33" s="5">
        <f>COUNTIFS(   D4:D1440,"Estudios nutricionales. Diseño, calidad y seguridad de los alimentos",G4:G1440,"Sí")</f>
        <v>0</v>
      </c>
      <c r="AI33" s="5">
        <f>COUNTIFS(   D4:D1440,"Estudios nutricionales. Diseño, calidad y seguridad de los alimentos",G4:G1440,"No")</f>
        <v>11</v>
      </c>
      <c r="AJ33" s="5">
        <f>SUMIFS( E4:E1440, D4:D1440,"Estudios nutricionales. Diseño, calidad y seguridad de los alimentos",G4:G1440,"Sí")</f>
        <v>0</v>
      </c>
      <c r="AK33" s="5">
        <f>SUMIFS( E4:E1440, D4:D1440,"Estudios nutricionales. Diseño, calidad y seguridad de los alimentos",G4:G1440,"No")</f>
        <v>91</v>
      </c>
      <c r="AL33" s="5">
        <f>COUNTIFS(   D4:D1440,"Estudios nutricionales. Diseño, calidad y seguridad de los alimentos",H4:H1440,"Sí")</f>
        <v>10</v>
      </c>
      <c r="AM33" s="5">
        <f>COUNTIFS(   D4:D1440,"Estudios nutricionales. Diseño, calidad y seguridad de los alimentos",I4:I1440,"Sí")</f>
        <v>3</v>
      </c>
      <c r="AN33" s="5">
        <f>COUNTIFS(   D4:D1440,"Estudios nutricionales. Diseño, calidad y seguridad de los alimentos",I4:I1440,"No")</f>
        <v>8</v>
      </c>
      <c r="AO33" s="5">
        <f>SUMIFS( E4:E1440, D4:D1440,"Estudios nutricionales. Diseño, calidad y seguridad de los alimentos",I4:I1440,"Sí")</f>
        <v>67</v>
      </c>
      <c r="AP33" s="5">
        <f>SUMIFS( E4:E1440, D4:D1440,"Estudios nutricionales. Diseño, calidad y seguridad de los alimentos",I4:I1440,"No")</f>
        <v>24</v>
      </c>
      <c r="AQ33" s="5">
        <f>COUNTIFS(   D4:D1440,"Estudios nutricionales. Diseño, calidad y seguridad de los alimentos",J4:J1440,"Sí")</f>
        <v>11</v>
      </c>
      <c r="AR33" s="5">
        <f>COUNTIFS(   D4:D1440,"Estudios nutricionales. Diseño, calidad y seguridad de los alimentos",K4:K1440,"Sí")</f>
        <v>4</v>
      </c>
      <c r="AS33" s="5">
        <f>COUNTIFS(   D4:D1440,"Estudios nutricionales. Diseño, calidad y seguridad de los alimentos",L4:L1440,"Sí")</f>
        <v>0</v>
      </c>
      <c r="AT33" s="5">
        <f>SUMIFS( E4:E1440, D4:D1440,"Estudios nutricionales. Diseño, calidad y seguridad de los alimentos")</f>
        <v>91</v>
      </c>
      <c r="AU33" s="5">
        <f>SUMIFS( E4:E1440, F4:F1440,"Hombre", D4:D1440,"Estudios nutricionales. Diseño, calidad y seguridad de los alimentos")</f>
        <v>42</v>
      </c>
      <c r="AV33" s="5">
        <f>SUMIFS( E4:E1440, F4:F1440,"Mujer", D4:D1440,"Estudios nutricionales. Diseño, calidad y seguridad de los alimentos")</f>
        <v>49</v>
      </c>
      <c r="AW33" s="19">
        <f>SUMIFS( E4:E1440, A4:A1440,"2018", D4:D1440,"Estudios nutricionales. Diseño, calidad y seguridad de los alimentos")</f>
        <v>39</v>
      </c>
      <c r="AX33" s="5">
        <f>SUMIFS( E4:E1440, A4:A1440,"2019", D4:D1440,"Estudios nutricionales. Diseño, calidad y seguridad de los alimentos")</f>
        <v>12</v>
      </c>
      <c r="AY33" s="5">
        <f>SUMIFS( E4:E1440, A4:A1440,"2020", D4:D1440,"Estudios nutricionales. Diseño, calidad y seguridad de los alimentos")</f>
        <v>7</v>
      </c>
      <c r="AZ33" s="5">
        <f>SUMIFS( E4:E1440, A4:A1440,"2021", D4:D1440,"Estudios nutricionales. Diseño, calidad y seguridad de los alimentos")</f>
        <v>33</v>
      </c>
      <c r="BA33" s="5">
        <f>SUMIFS( E4:E1440, A4:A1440,"2022", D4:D1440,"Estudios nutricionales. Diseño, calidad y seguridad de los alimentos")</f>
        <v>0</v>
      </c>
      <c r="BB33" s="19">
        <f>SUMIFS( E4:E1440, N4:N1440,"2018", D4:D1440,"Estudios nutricionales. Diseño, calidad y seguridad de los alimentos")</f>
        <v>0</v>
      </c>
      <c r="BC33" s="5">
        <f>SUMIFS( E4:E1440, N4:N1440,"2019", D4:D1440,"Estudios nutricionales. Diseño, calidad y seguridad de los alimentos")</f>
        <v>39</v>
      </c>
      <c r="BD33" s="5">
        <f>SUMIFS( E4:E1440, N4:N1440,"2020", D4:D1440,"Estudios nutricionales. Diseño, calidad y seguridad de los alimentos")</f>
        <v>12</v>
      </c>
      <c r="BE33" s="5">
        <f>SUMIFS( E4:E1440, N4:N1440,"2021", D4:D1440,"Estudios nutricionales. Diseño, calidad y seguridad de los alimentos")</f>
        <v>7</v>
      </c>
      <c r="BF33" s="5">
        <f>SUMIFS( E4:E1440, N4:N1440,"2022", D4:D1440,"Estudios nutricionales. Diseño, calidad y seguridad de los alimentos")</f>
        <v>33</v>
      </c>
      <c r="BG33" s="14">
        <f>AVERAGEIFS( E4:E1440, D4:D1440,"Estudios nutricionales. Diseño, calidad y seguridad de los alimentos")</f>
        <v>9.1</v>
      </c>
      <c r="BH33" s="14">
        <v>0</v>
      </c>
      <c r="BI33" s="14">
        <f>AVERAGEIFS( E4:E1440, A4:A1440,"2019", D4:D1440,"Estudios nutricionales. Diseño, calidad y seguridad de los alimentos")</f>
        <v>6</v>
      </c>
      <c r="BJ33" s="14">
        <v>0</v>
      </c>
      <c r="BK33" s="14">
        <f>AVERAGEIFS( E4:E1440, A4:A1440,"2021", D4:D1440,"Estudios nutricionales. Diseño, calidad y seguridad de los alimentos")</f>
        <v>8.25</v>
      </c>
      <c r="BL33" s="37" t="e">
        <f>AVERAGEIFS( E4:E1440, A4:A1440,"2022", D4:D1440,"Estudios nutricionales. Diseño, calidad y seguridad de los alimentos")</f>
        <v>#DIV/0!</v>
      </c>
      <c r="BM33" s="14">
        <v>6.4</v>
      </c>
      <c r="BN33" s="14">
        <v>0</v>
      </c>
      <c r="BO33" s="14">
        <v>1</v>
      </c>
      <c r="BP33" s="14">
        <v>0</v>
      </c>
      <c r="BQ33" s="14">
        <v>7.666666666666667</v>
      </c>
      <c r="BR33" s="14">
        <v>8</v>
      </c>
    </row>
    <row r="34" spans="1:70" ht="15" customHeight="1">
      <c r="A34" s="24">
        <v>2018</v>
      </c>
      <c r="B34" s="24" t="s">
        <v>136</v>
      </c>
      <c r="C34" s="24" t="s">
        <v>189</v>
      </c>
      <c r="D34" s="24" t="s">
        <v>258</v>
      </c>
      <c r="E34" s="23">
        <v>7</v>
      </c>
      <c r="F34" s="24" t="s">
        <v>211</v>
      </c>
      <c r="G34" s="24" t="s">
        <v>225</v>
      </c>
      <c r="H34" s="23" t="s">
        <v>226</v>
      </c>
      <c r="I34" s="24" t="s">
        <v>226</v>
      </c>
      <c r="J34" s="23" t="s">
        <v>226</v>
      </c>
      <c r="K34" s="24" t="s">
        <v>226</v>
      </c>
      <c r="L34" s="23"/>
      <c r="M34" s="26" t="s">
        <v>257</v>
      </c>
      <c r="N34" s="24">
        <v>2018</v>
      </c>
      <c r="O34" s="67" t="s">
        <v>32</v>
      </c>
      <c r="P34" s="68"/>
      <c r="Q34" s="68"/>
      <c r="R34" s="68"/>
      <c r="S34" s="68"/>
      <c r="T34" s="69"/>
      <c r="U34" s="5">
        <f>COUNTIFS(   D4:D1440,"Nutrición humana y experimental en situaciones fisiológicas y patológicas. Valoración nutricional")</f>
        <v>15</v>
      </c>
      <c r="V34" s="5">
        <f>COUNTIFS(   D4:D1440,"Nutrición humana y experimental en situaciones fisiológicas y patológicas. Valoración nutricional",F4:F1440,"Hombre")</f>
        <v>6</v>
      </c>
      <c r="W34" s="5">
        <f>COUNTIFS(   D4:D1440,"Nutrición humana y experimental en situaciones fisiológicas y patológicas. Valoración nutricional",F4:F1440,"Mujer")</f>
        <v>9</v>
      </c>
      <c r="X34" s="19">
        <f>COUNTIFS(   A4:A1440,"2018", D4:D1440,"Nutrición humana y experimental en situaciones fisiológicas y patológicas. Valoración nutricional")</f>
        <v>3</v>
      </c>
      <c r="Y34" s="5">
        <f>COUNTIFS(   A4:A1440,"2019", D4:D1440,"Nutrición humana y experimental en situaciones fisiológicas y patológicas. Valoración nutricional")</f>
        <v>5</v>
      </c>
      <c r="Z34" s="5">
        <f>COUNTIFS(   A4:A1440,"2020", D4:D1440,"Nutrición humana y experimental en situaciones fisiológicas y patológicas. Valoración nutricional")</f>
        <v>5</v>
      </c>
      <c r="AA34" s="5">
        <f>COUNTIFS(   A4:A1440,"2021", D4:D1440,"Nutrición humana y experimental en situaciones fisiológicas y patológicas. Valoración nutricional")</f>
        <v>2</v>
      </c>
      <c r="AB34" s="5">
        <f>COUNTIFS(  A4:A1440,"2022", D4:D1440,"Nutrición humana y experimental en situaciones fisiológicas y patológicas. Valoración nutricional")</f>
        <v>0</v>
      </c>
      <c r="AC34" s="19">
        <f>COUNTIFS(   N4:N1440,"2018", D4:D1440,"Nutrición humana y experimental en situaciones fisiológicas y patológicas. Valoración nutricional")</f>
        <v>1</v>
      </c>
      <c r="AD34" s="5">
        <f>COUNTIFS(   N4:N1440,"2019", D4:D1440,"Nutrición humana y experimental en situaciones fisiológicas y patológicas. Valoración nutricional")</f>
        <v>3</v>
      </c>
      <c r="AE34" s="5">
        <f>COUNTIFS(   N4:N1440,"2020", D4:D1440,"Nutrición humana y experimental en situaciones fisiológicas y patológicas. Valoración nutricional")</f>
        <v>8</v>
      </c>
      <c r="AF34" s="5">
        <f>COUNTIFS(   N4:N1440,"2021", D4:D1440,"Nutrición humana y experimental en situaciones fisiológicas y patológicas. Valoración nutricional")</f>
        <v>2</v>
      </c>
      <c r="AG34" s="5">
        <f>COUNTIFS(   N4:N1440,"2022", D4:D1440,"Nutrición humana y experimental en situaciones fisiológicas y patológicas. Valoración nutricional")</f>
        <v>1</v>
      </c>
      <c r="AH34" s="5">
        <f>COUNTIFS(   D4:D1440,"Nutrición humana y experimental en situaciones fisiológicas y patológicas. Valoración nutricional",G4:G1440,"Sí")</f>
        <v>0</v>
      </c>
      <c r="AI34" s="5">
        <f>COUNTIFS(   D4:D1440,"Nutrición humana y experimental en situaciones fisiológicas y patológicas. Valoración nutricional",G4:G1440,"No")</f>
        <v>15</v>
      </c>
      <c r="AJ34" s="5">
        <f>SUMIFS( E4:E1440, D4:D1440,"Nutrición humana y experimental en situaciones fisiológicas y patológicas. Valoración nutricional",G4:G1440,"Sí")</f>
        <v>0</v>
      </c>
      <c r="AK34" s="5">
        <f>SUMIFS( E4:E1440, D4:D1440,"Nutrición humana y experimental en situaciones fisiológicas y patológicas. Valoración nutricional",G4:G1440,"No")</f>
        <v>85</v>
      </c>
      <c r="AL34" s="5">
        <f>COUNTIFS(   D4:D1440,"Nutrición humana y experimental en situaciones fisiológicas y patológicas. Valoración nutricional",H4:H1440,"Sí")</f>
        <v>13</v>
      </c>
      <c r="AM34" s="5">
        <f>COUNTIFS(   D4:D1440,"Nutrición humana y experimental en situaciones fisiológicas y patológicas. Valoración nutricional",I4:I1440,"Sí")</f>
        <v>4</v>
      </c>
      <c r="AN34" s="5">
        <f>COUNTIFS(   D4:D1440,"Nutrición humana y experimental en situaciones fisiológicas y patológicas. Valoración nutricional",I4:I1440,"No")</f>
        <v>11</v>
      </c>
      <c r="AO34" s="5">
        <f>SUMIFS( E4:E1440, D4:D1440,"Nutrición humana y experimental en situaciones fisiológicas y patológicas. Valoración nutricional",I4:I1440,"Sí")</f>
        <v>62</v>
      </c>
      <c r="AP34" s="5">
        <f>SUMIFS( E4:E1440, D4:D1440,"Nutrición humana y experimental en situaciones fisiológicas y patológicas. Valoración nutricional",I4:I1440,"No")</f>
        <v>23</v>
      </c>
      <c r="AQ34" s="5">
        <f>COUNTIFS(   D4:D1440,"Nutrición humana y experimental en situaciones fisiológicas y patológicas. Valoración nutricional",J4:J1440,"Sí")</f>
        <v>15</v>
      </c>
      <c r="AR34" s="5">
        <f>COUNTIFS(   D4:D1440,"Nutrición humana y experimental en situaciones fisiológicas y patológicas. Valoración nutricional",K4:K1440,"Sí")</f>
        <v>5</v>
      </c>
      <c r="AS34" s="5">
        <f>COUNTIFS(   D4:D1440,"Nutrición humana y experimental en situaciones fisiológicas y patológicas. Valoración nutricional",L4:L1440,"Sí")</f>
        <v>0</v>
      </c>
      <c r="AT34" s="5">
        <f>SUMIFS( E4:E1440, D4:D1440,"Nutrición humana y experimental en situaciones fisiológicas y patológicas. Valoración nutricional")</f>
        <v>85</v>
      </c>
      <c r="AU34" s="5">
        <f>SUMIFS( E4:E1440, F4:F1440,"Hombre", D4:D1440,"Nutrición humana y experimental en situaciones fisiológicas y patológicas. Valoración nutricional")</f>
        <v>41</v>
      </c>
      <c r="AV34" s="5">
        <f>SUMIFS( E4:E1440, F4:F1440,"Mujer", D4:D1440,"Nutrición humana y experimental en situaciones fisiológicas y patológicas. Valoración nutricional")</f>
        <v>44</v>
      </c>
      <c r="AW34" s="19">
        <f>SUMIFS( E4:E1440, A4:A1440,"2018", D4:D1440,"Nutrición humana y experimental en situaciones fisiológicas y patológicas. Valoración nutricional")</f>
        <v>22</v>
      </c>
      <c r="AX34" s="5">
        <f>SUMIFS( E4:E1440, A4:A1440,"2019", D4:D1440,"Nutrición humana y experimental en situaciones fisiológicas y patológicas. Valoración nutricional")</f>
        <v>19</v>
      </c>
      <c r="AY34" s="5">
        <f>SUMIFS( E4:E1440, A4:A1440,"2020", D4:D1440,"Nutrición humana y experimental en situaciones fisiológicas y patológicas. Valoración nutricional")</f>
        <v>34</v>
      </c>
      <c r="AZ34" s="5">
        <f>SUMIFS( E4:E1440, A4:A1440,"2021", D4:D1440,"Nutrición humana y experimental en situaciones fisiológicas y patológicas. Valoración nutricional")</f>
        <v>10</v>
      </c>
      <c r="BA34" s="5">
        <f>SUMIFS( E4:E1440, A4:A1440,"2022", D4:D1440,"Nutrición humana y experimental en situaciones fisiológicas y patológicas. Valoración nutricional")</f>
        <v>0</v>
      </c>
      <c r="BB34" s="19">
        <f>SUMIFS( E4:E1440, N4:N1440,"2018", D4:D1440,"Nutrición humana y experimental en situaciones fisiológicas y patológicas. Valoración nutricional")</f>
        <v>19</v>
      </c>
      <c r="BC34" s="5">
        <f>SUMIFS( E4:E1440, N4:N1440,"2019", D4:D1440,"Nutrición humana y experimental en situaciones fisiológicas y patológicas. Valoración nutricional")</f>
        <v>5</v>
      </c>
      <c r="BD34" s="5">
        <f>SUMIFS( E4:E1440, N4:N1440,"2020", D4:D1440,"Nutrición humana y experimental en situaciones fisiológicas y patológicas. Valoración nutricional")</f>
        <v>50</v>
      </c>
      <c r="BE34" s="5">
        <f>SUMIFS( E4:E1440, N4:N1440,"2021", D4:D1440,"Nutrición humana y experimental en situaciones fisiológicas y patológicas. Valoración nutricional")</f>
        <v>5</v>
      </c>
      <c r="BF34" s="5">
        <f>SUMIFS( E4:E1440, N4:N1440,"2022", D4:D1440,"Nutrición humana y experimental en situaciones fisiológicas y patológicas. Valoración nutricional")</f>
        <v>6</v>
      </c>
      <c r="BG34" s="14">
        <f>AVERAGEIFS( E4:E1440, D4:D1440,"Nutrición humana y experimental en situaciones fisiológicas y patológicas. Valoración nutricional")</f>
        <v>6.5384615384615383</v>
      </c>
      <c r="BH34" s="14">
        <f>AVERAGEIFS( E4:E1440, A4:A1440,"2018", D4:D1440,"Nutrición humana y experimental en situaciones fisiológicas y patológicas. Valoración nutricional")</f>
        <v>7.333333333333333</v>
      </c>
      <c r="BI34" s="14">
        <v>0</v>
      </c>
      <c r="BJ34" s="14">
        <f>AVERAGEIFS( E4:E1440, A4:A1440,"2020", D4:D1440,"Nutrición humana y experimental en situaciones fisiológicas y patológicas. Valoración nutricional")</f>
        <v>11.333333333333334</v>
      </c>
      <c r="BK34" s="14">
        <f>AVERAGEIFS( E4:E1440, A4:A1440,"2021", D4:D1440,"Nutrición humana y experimental en situaciones fisiológicas y patológicas. Valoración nutricional")</f>
        <v>5</v>
      </c>
      <c r="BL34" s="37" t="e">
        <f>AVERAGEIFS( E4:E1440, A4:A1440,"2022", D4:D1440,"Nutrición humana y experimental en situaciones fisiológicas y patológicas. Valoración nutricional")</f>
        <v>#DIV/0!</v>
      </c>
      <c r="BM34" s="14">
        <v>6.6</v>
      </c>
      <c r="BN34" s="14">
        <v>10</v>
      </c>
      <c r="BO34" s="14">
        <v>0</v>
      </c>
      <c r="BP34" s="14">
        <v>6</v>
      </c>
      <c r="BQ34" s="14">
        <v>4.333333333333333</v>
      </c>
      <c r="BR34" s="14">
        <v>7.4</v>
      </c>
    </row>
    <row r="35" spans="1:70" ht="15" customHeight="1">
      <c r="A35" s="24">
        <v>2018</v>
      </c>
      <c r="B35" s="24" t="s">
        <v>4</v>
      </c>
      <c r="C35" s="24" t="s">
        <v>203</v>
      </c>
      <c r="D35" s="24"/>
      <c r="E35" s="23"/>
      <c r="F35" s="24" t="s">
        <v>207</v>
      </c>
      <c r="G35" s="24" t="s">
        <v>225</v>
      </c>
      <c r="H35" s="23" t="s">
        <v>226</v>
      </c>
      <c r="I35" s="24" t="s">
        <v>226</v>
      </c>
      <c r="J35" s="23" t="s">
        <v>226</v>
      </c>
      <c r="K35" s="24" t="s">
        <v>226</v>
      </c>
      <c r="L35" s="23"/>
      <c r="M35" s="26" t="s">
        <v>257</v>
      </c>
      <c r="N35" s="24">
        <v>2018</v>
      </c>
      <c r="O35" s="86" t="s">
        <v>48</v>
      </c>
      <c r="P35" s="87"/>
      <c r="Q35" s="87"/>
      <c r="R35" s="87"/>
      <c r="S35" s="87"/>
      <c r="T35" s="88"/>
      <c r="U35" s="4">
        <f>COUNTIFS(   C4:C1440,"Psicología")</f>
        <v>73</v>
      </c>
      <c r="V35" s="4">
        <f>COUNTIFS(   C4:C1440,"Psicología",F4:F1440,"Hombre")</f>
        <v>24</v>
      </c>
      <c r="W35" s="4">
        <f>COUNTIFS(   C4:C1440,"Psicología",F4:F1440,"Mujer")</f>
        <v>49</v>
      </c>
      <c r="X35" s="18">
        <f>COUNTIFS(   A4:A1440,"2018", C4:C1440,"Psicología")</f>
        <v>21</v>
      </c>
      <c r="Y35" s="4">
        <f>COUNTIFS(   A4:A1440,"2019", C4:C1440,"Psicología")</f>
        <v>21</v>
      </c>
      <c r="Z35" s="4">
        <f>COUNTIFS(   A4:A1440,"2020", C4:C1440,"Psicología")</f>
        <v>18</v>
      </c>
      <c r="AA35" s="4">
        <f>COUNTIFS(   A4:A1440,"2021", C4:C1440,"Psicología")</f>
        <v>13</v>
      </c>
      <c r="AB35" s="4">
        <f>COUNTIFS(   A4:A1440,"2022", C4:C1440,"Psicología")</f>
        <v>0</v>
      </c>
      <c r="AC35" s="18">
        <f>COUNTIFS(   N4:N1440,"2018", C4:C1440,"Psicología")</f>
        <v>8</v>
      </c>
      <c r="AD35" s="4">
        <f>COUNTIFS(   N4:N1440,"2019", C4:C1440,"Psicología")</f>
        <v>19</v>
      </c>
      <c r="AE35" s="4">
        <f>COUNTIFS(   N4:N1440,"2020", C4:C1440,"Psicología")</f>
        <v>20</v>
      </c>
      <c r="AF35" s="4">
        <f>COUNTIFS(   N4:N1440,"2021", C4:C1440,"Psicología")</f>
        <v>20</v>
      </c>
      <c r="AG35" s="4">
        <f>COUNTIFS(   N4:N1440,"2022", C4:C1440,"Psicología")</f>
        <v>6</v>
      </c>
      <c r="AH35" s="4">
        <f>COUNTIFS(   C4:C1440,"Psicología",G4:G1440,"Sí")</f>
        <v>2</v>
      </c>
      <c r="AI35" s="4">
        <f>COUNTIFS(   C4:C1440,"Psicología",G4:G1440,"No")</f>
        <v>71</v>
      </c>
      <c r="AJ35" s="4">
        <f>SUMIFS( E4:E1440, C4:C1440,"Psicología",G4:G1440,"Sí")</f>
        <v>10</v>
      </c>
      <c r="AK35" s="4">
        <f>SUMIFS( E4:E1440, C4:C1440,"Psicología",G4:G1440,"No")</f>
        <v>439</v>
      </c>
      <c r="AL35" s="4">
        <f>COUNTIFS(   C4:C1440,"Psicología",H4:H1440,"Sí")</f>
        <v>61</v>
      </c>
      <c r="AM35" s="4">
        <f>COUNTIFS(   C4:C1440,"Psicología",I4:I1440,"Sí")</f>
        <v>53</v>
      </c>
      <c r="AN35" s="4">
        <f>COUNTIFS(   C4:C1440,"Psicología",I4:I1440,"No")</f>
        <v>20</v>
      </c>
      <c r="AO35" s="4">
        <f>SUMIFS( E4:E1440, C4:C1440,"Psicología",I4:I1440,"Sí")</f>
        <v>352</v>
      </c>
      <c r="AP35" s="4">
        <f>SUMIFS( E4:E1440, C4:C1440,"Psicología",I4:I1440,"No")</f>
        <v>97</v>
      </c>
      <c r="AQ35" s="4">
        <f>COUNTIFS(   C4:C1440,"Psicología",J4:J1440,"Sí")</f>
        <v>73</v>
      </c>
      <c r="AR35" s="4">
        <f>COUNTIFS(   C4:C1440,"Psicología",K4:K1440,"Sí")</f>
        <v>30</v>
      </c>
      <c r="AS35" s="4">
        <f>COUNTIFS(   C4:C1440,"Psicología",L4:L1440,"Sí")</f>
        <v>0</v>
      </c>
      <c r="AT35" s="4">
        <f>SUMIFS( E4:E1440, C4:C1440,"Psicología")</f>
        <v>449</v>
      </c>
      <c r="AU35" s="4">
        <f>SUMIFS( E4:E1440, F4:F1440,"Hombre", C4:C1440,"Psicología")</f>
        <v>148</v>
      </c>
      <c r="AV35" s="4">
        <f>SUMIFS( E4:E1440, F4:F1440,"Mujer", C4:C1440,"Psicología")</f>
        <v>301</v>
      </c>
      <c r="AW35" s="18">
        <f>SUMIFS( E4:E1440, A4:A1440,"2018", C4:C1440,"Psicología")</f>
        <v>173</v>
      </c>
      <c r="AX35" s="4">
        <f>SUMIFS( E4:E1440, A4:A1440,"2019", C4:C1440,"Psicología")</f>
        <v>139</v>
      </c>
      <c r="AY35" s="4">
        <f>SUMIFS( E4:E1440, A4:A1440,"2020", C4:C1440,"Psicología")</f>
        <v>90</v>
      </c>
      <c r="AZ35" s="4">
        <f>SUMIFS( E4:E1440, A4:A1440,"2021", C4:C1440,"Psicología")</f>
        <v>47</v>
      </c>
      <c r="BA35" s="4">
        <f>SUMIFS( E4:E1440, A4:A1440,"2022", C4:C1440,"Psicología")</f>
        <v>0</v>
      </c>
      <c r="BB35" s="18">
        <f>SUMIFS( E4:E1440, N4:N1440,"2018", C4:C1440,"Psicología")</f>
        <v>73</v>
      </c>
      <c r="BC35" s="4">
        <f>SUMIFS( E4:E1440, N4:N1440,"2019", C4:C1440,"Psicología")</f>
        <v>138</v>
      </c>
      <c r="BD35" s="4">
        <f>SUMIFS( E4:E1440, N4:N1440,"2020", C4:C1440,"Psicología")</f>
        <v>120</v>
      </c>
      <c r="BE35" s="4">
        <f>SUMIFS( E4:E1440, N4:N1440,"2021", C4:C1440,"Psicología")</f>
        <v>99</v>
      </c>
      <c r="BF35" s="4">
        <f>SUMIFS( E4:E1440, N4:N1440,"2022", C4:C1440,"Psicología")</f>
        <v>19</v>
      </c>
      <c r="BG35" s="13">
        <f>AVERAGEIFS( E4:E1440, C4:C1440,"Psicología")</f>
        <v>7.360655737704918</v>
      </c>
      <c r="BH35" s="13">
        <v>0</v>
      </c>
      <c r="BI35" s="13">
        <v>0</v>
      </c>
      <c r="BJ35" s="13">
        <f>AVERAGEIFS( E4:E1440, A4:A1440,"2020", C4:C1440,"Psicología")</f>
        <v>6</v>
      </c>
      <c r="BK35" s="13">
        <f>AVERAGEIFS( E4:E1440, A4:A1440,"2021", C4:C1440,"Psicología")</f>
        <v>3.9166666666666665</v>
      </c>
      <c r="BL35" s="37" t="e">
        <f>AVERAGEIFS( E4:E1440, A4:A1440,"2022", C4:C1440,"Psicología")</f>
        <v>#DIV/0!</v>
      </c>
      <c r="BM35" s="13">
        <f>AVERAGE(AT36:AT40)</f>
        <v>89.8</v>
      </c>
      <c r="BN35" s="13">
        <f>AVERAGE(AW36:AW40)</f>
        <v>34.6</v>
      </c>
      <c r="BO35" s="13">
        <f>AVERAGE(AX36:AX40)</f>
        <v>27.8</v>
      </c>
      <c r="BP35" s="13">
        <f>AVERAGE(AY36:AY40)</f>
        <v>18</v>
      </c>
      <c r="BQ35" s="13">
        <f>AVERAGE(AZ36:AZ40)</f>
        <v>9.4</v>
      </c>
      <c r="BR35" s="13">
        <f>AVERAGE(BA36:BA40)</f>
        <v>0</v>
      </c>
    </row>
    <row r="36" spans="1:70" ht="15" customHeight="1">
      <c r="A36" s="24">
        <v>2018</v>
      </c>
      <c r="B36" s="24" t="s">
        <v>136</v>
      </c>
      <c r="C36" s="24" t="s">
        <v>189</v>
      </c>
      <c r="D36" s="24" t="s">
        <v>259</v>
      </c>
      <c r="E36" s="23">
        <v>2</v>
      </c>
      <c r="F36" s="24" t="s">
        <v>211</v>
      </c>
      <c r="G36" s="24" t="s">
        <v>225</v>
      </c>
      <c r="H36" s="23" t="s">
        <v>226</v>
      </c>
      <c r="I36" s="24" t="s">
        <v>226</v>
      </c>
      <c r="J36" s="23" t="s">
        <v>226</v>
      </c>
      <c r="K36" s="24" t="s">
        <v>226</v>
      </c>
      <c r="L36" s="23"/>
      <c r="M36" s="26" t="s">
        <v>257</v>
      </c>
      <c r="N36" s="24">
        <v>2018</v>
      </c>
      <c r="O36" s="67" t="s">
        <v>35</v>
      </c>
      <c r="P36" s="68"/>
      <c r="Q36" s="68"/>
      <c r="R36" s="68"/>
      <c r="S36" s="68"/>
      <c r="T36" s="69"/>
      <c r="U36" s="5">
        <f>COUNTIFS(  D4:D1440,"Neurociencia del Comportamiento, Cognitiva y Afectiva")</f>
        <v>24</v>
      </c>
      <c r="V36" s="5">
        <f>COUNTIFS(  D4:D1440,"Neurociencia del Comportamiento, Cognitiva y Afectiva",F4:F1440,"Hombre")</f>
        <v>6</v>
      </c>
      <c r="W36" s="5">
        <f>COUNTIFS(  D4:D1440,"Neurociencia del Comportamiento, Cognitiva y Afectiva",F4:F1440,"Mujer")</f>
        <v>18</v>
      </c>
      <c r="X36" s="19">
        <f>COUNTIFS(   A4:A1440,"2018", D4:D1440,"Neurociencia del Comportamiento, Cognitiva y Afectiva")</f>
        <v>7</v>
      </c>
      <c r="Y36" s="5">
        <f>COUNTIFS(   A4:A1440,"2019", D4:D1440,"Neurociencia del Comportamiento, Cognitiva y Afectiva")</f>
        <v>9</v>
      </c>
      <c r="Z36" s="5">
        <f>COUNTIFS(   A4:A1440,"2020", D4:D1440,"Neurociencia del Comportamiento, Cognitiva y Afectiva")</f>
        <v>6</v>
      </c>
      <c r="AA36" s="5">
        <f>COUNTIFS(   A4:A1440,"2021", D4:D1440,"Neurociencia del Comportamiento, Cognitiva y Afectiva")</f>
        <v>2</v>
      </c>
      <c r="AB36" s="5">
        <f>COUNTIFS(  A4:A1440,"2022", D4:D1440,"Neurociencia del Comportamiento, Cognitiva y Afectiva")</f>
        <v>0</v>
      </c>
      <c r="AC36" s="19">
        <f>COUNTIFS(   N4:N1440,"2018", D4:D1440,"Neurociencia del Comportamiento, Cognitiva y Afectiva")</f>
        <v>2</v>
      </c>
      <c r="AD36" s="5">
        <f>COUNTIFS(   N4:N1440,"2019", D4:D1440,"Neurociencia del Comportamiento, Cognitiva y Afectiva")</f>
        <v>9</v>
      </c>
      <c r="AE36" s="5">
        <f>COUNTIFS(   N4:N1440,"2020", D4:D1440,"Neurociencia del Comportamiento, Cognitiva y Afectiva")</f>
        <v>6</v>
      </c>
      <c r="AF36" s="5">
        <f>COUNTIFS(   N4:N1440,"2021", D4:D1440,"Neurociencia del Comportamiento, Cognitiva y Afectiva")</f>
        <v>7</v>
      </c>
      <c r="AG36" s="5">
        <f>COUNTIFS(   N4:N1440,"2022", D4:D1440,"Neurociencia del Comportamiento, Cognitiva y Afectiva")</f>
        <v>0</v>
      </c>
      <c r="AH36" s="5">
        <f>COUNTIFS(  D4:D1440,"Neurociencia del Comportamiento, Cognitiva y Afectiva",G4:G1440,"Sí")</f>
        <v>1</v>
      </c>
      <c r="AI36" s="5">
        <f>COUNTIFS(  D4:D1440,"Neurociencia del Comportamiento, Cognitiva y Afectiva",G4:G1440,"No")</f>
        <v>23</v>
      </c>
      <c r="AJ36" s="5">
        <f>SUMIFS(E4:E1440, D4:D1440,"Neurociencia del Comportamiento, Cognitiva y Afectiva",G4:G1440,"Sí")</f>
        <v>8</v>
      </c>
      <c r="AK36" s="5">
        <f>SUMIFS(E4:E1440, D4:D1440,"Neurociencia del Comportamiento, Cognitiva y Afectiva",G4:G1440,"No")</f>
        <v>96</v>
      </c>
      <c r="AL36" s="5">
        <f>COUNTIFS(  D4:D1440,"Neurociencia del Comportamiento, Cognitiva y Afectiva",H4:H1440,"Sí")</f>
        <v>20</v>
      </c>
      <c r="AM36" s="5">
        <f>COUNTIFS(  D4:D1440,"Neurociencia del Comportamiento, Cognitiva y Afectiva",I4:I1440,"Sí")</f>
        <v>20</v>
      </c>
      <c r="AN36" s="5">
        <f>COUNTIFS(  D4:D1440,"Neurociencia del Comportamiento, Cognitiva y Afectiva",I4:I1440,"No")</f>
        <v>4</v>
      </c>
      <c r="AO36" s="5">
        <f>SUMIFS(E4:E1440, D4:D1440,"Neurociencia del Comportamiento, Cognitiva y Afectiva",I4:I1440,"Sí")</f>
        <v>90</v>
      </c>
      <c r="AP36" s="5">
        <f>SUMIFS(E4:E1440, D4:D1440,"Neurociencia del Comportamiento, Cognitiva y Afectiva",I4:I1440,"No")</f>
        <v>14</v>
      </c>
      <c r="AQ36" s="5">
        <f>COUNTIFS(  D4:D1440,"Neurociencia del Comportamiento, Cognitiva y Afectiva",J4:J1440,"Sí")</f>
        <v>24</v>
      </c>
      <c r="AR36" s="5">
        <f>COUNTIFS(  D4:D1440,"Neurociencia del Comportamiento, Cognitiva y Afectiva",K4:K1440,"Sí")</f>
        <v>12</v>
      </c>
      <c r="AS36" s="5">
        <f>COUNTIFS(  D4:D1440,"Neurociencia del Comportamiento, Cognitiva y Afectiva",L4:L1440,"Sí")</f>
        <v>0</v>
      </c>
      <c r="AT36" s="5">
        <f>SUMIFS(E4:E1440, D4:D1440,"Neurociencia del Comportamiento, Cognitiva y Afectiva")</f>
        <v>104</v>
      </c>
      <c r="AU36" s="5">
        <f>SUMIFS( E4:E1440, F4:F1440,"Hombre", D4:D1440,"Neurociencia del Comportamiento, Cognitiva y Afectiva")</f>
        <v>14</v>
      </c>
      <c r="AV36" s="5">
        <f>SUMIFS( E4:E1440, F4:F1440,"Mujer", D4:D1440,"Neurociencia del Comportamiento, Cognitiva y Afectiva")</f>
        <v>90</v>
      </c>
      <c r="AW36" s="19">
        <f>SUMIFS( E4:E1440, A4:A1440,"2018", D4:D1440,"Neurociencia del Comportamiento, Cognitiva y Afectiva")</f>
        <v>33</v>
      </c>
      <c r="AX36" s="5">
        <f>SUMIFS( E4:E1440, A4:A1440,"2019", D4:D1440,"Neurociencia del Comportamiento, Cognitiva y Afectiva")</f>
        <v>36</v>
      </c>
      <c r="AY36" s="5">
        <f>SUMIFS( E4:E1440, A4:A1440,"2020", D4:D1440,"Neurociencia del Comportamiento, Cognitiva y Afectiva")</f>
        <v>30</v>
      </c>
      <c r="AZ36" s="5">
        <f>SUMIFS( E4:E1440, A4:A1440,"2021", D4:D1440,"Neurociencia del Comportamiento, Cognitiva y Afectiva")</f>
        <v>5</v>
      </c>
      <c r="BA36" s="5">
        <f>SUMIFS( E4:E1440, A4:A1440,"2022", D4:D1440,"Neurociencia del Comportamiento, Cognitiva y Afectiva")</f>
        <v>0</v>
      </c>
      <c r="BB36" s="19">
        <f>SUMIFS( E4:E1440, N4:N1440,"2018", D4:D1440,"Neurociencia del Comportamiento, Cognitiva y Afectiva")</f>
        <v>19</v>
      </c>
      <c r="BC36" s="5">
        <f>SUMIFS( E4:E1440, N4:N1440,"2019", D4:D1440,"Neurociencia del Comportamiento, Cognitiva y Afectiva")</f>
        <v>31</v>
      </c>
      <c r="BD36" s="5">
        <f>SUMIFS( E4:E1440, N4:N1440,"2020", D4:D1440,"Neurociencia del Comportamiento, Cognitiva y Afectiva")</f>
        <v>22</v>
      </c>
      <c r="BE36" s="5">
        <f>SUMIFS( E4:E1440, N4:N1440,"2021", D4:D1440,"Neurociencia del Comportamiento, Cognitiva y Afectiva")</f>
        <v>32</v>
      </c>
      <c r="BF36" s="5">
        <f>SUMIFS( E4:E1440, N4:N1440,"2022", D4:D1440,"Neurociencia del Comportamiento, Cognitiva y Afectiva")</f>
        <v>0</v>
      </c>
      <c r="BG36" s="14">
        <f>AVERAGEIFS(E4:E1440, D4:D1440,"Neurociencia del Comportamiento, Cognitiva y Afectiva")</f>
        <v>5.2</v>
      </c>
      <c r="BH36" s="14">
        <v>0</v>
      </c>
      <c r="BI36" s="14">
        <v>0</v>
      </c>
      <c r="BJ36" s="14">
        <f>AVERAGEIFS( E4:E1440, A4:A1440,"2020", D4:D1440,"Neurociencia del Comportamiento, Cognitiva y Afectiva")</f>
        <v>5</v>
      </c>
      <c r="BK36" s="14">
        <f>AVERAGEIFS( E4:E1440, A4:A1440,"2021", D4:D1440,"Neurociencia del Comportamiento, Cognitiva y Afectiva")</f>
        <v>2.5</v>
      </c>
      <c r="BL36" s="37" t="e">
        <f>AVERAGEIFS( E4:E1440, A4:A1440,"2022", D4:D1440,"Neurociencia del Comportamiento, Cognitiva y Afectiva")</f>
        <v>#DIV/0!</v>
      </c>
      <c r="BM36" s="14">
        <v>5.75</v>
      </c>
      <c r="BN36" s="14">
        <v>0</v>
      </c>
      <c r="BO36" s="14">
        <v>0</v>
      </c>
      <c r="BP36" s="14">
        <v>13.5</v>
      </c>
      <c r="BQ36" s="14">
        <v>5</v>
      </c>
      <c r="BR36" s="14">
        <v>2.8</v>
      </c>
    </row>
    <row r="37" spans="1:70" ht="15" customHeight="1">
      <c r="A37" s="24">
        <v>2018</v>
      </c>
      <c r="B37" s="24" t="s">
        <v>136</v>
      </c>
      <c r="C37" s="24" t="s">
        <v>176</v>
      </c>
      <c r="D37" s="24"/>
      <c r="E37" s="23"/>
      <c r="F37" s="24" t="s">
        <v>211</v>
      </c>
      <c r="G37" s="24" t="s">
        <v>225</v>
      </c>
      <c r="H37" s="23" t="s">
        <v>226</v>
      </c>
      <c r="I37" s="24" t="s">
        <v>225</v>
      </c>
      <c r="J37" s="23" t="s">
        <v>226</v>
      </c>
      <c r="K37" s="24" t="s">
        <v>226</v>
      </c>
      <c r="L37" s="23"/>
      <c r="M37" s="25">
        <v>43383</v>
      </c>
      <c r="N37" s="24">
        <v>2018</v>
      </c>
      <c r="O37" s="67" t="s">
        <v>36</v>
      </c>
      <c r="P37" s="68"/>
      <c r="Q37" s="68"/>
      <c r="R37" s="68"/>
      <c r="S37" s="68"/>
      <c r="T37" s="69"/>
      <c r="U37" s="5">
        <f>COUNTIFS(   D4:D1440,"Psicología Clínica y de la Salud")</f>
        <v>17</v>
      </c>
      <c r="V37" s="5">
        <f>COUNTIFS(   D4:D1440,"Psicología Clínica y de la Salud",F4:F1440,"Hombre")</f>
        <v>5</v>
      </c>
      <c r="W37" s="5">
        <f>COUNTIFS(   D4:D1440,"Psicología Clínica y de la Salud",F4:F1440,"Mujer")</f>
        <v>12</v>
      </c>
      <c r="X37" s="19">
        <f>COUNTIFS(   A4:A1440,"2018", D4:D1440,"Psicología Clínica y de la Salud")</f>
        <v>4</v>
      </c>
      <c r="Y37" s="5">
        <f>COUNTIFS(   A4:A1440,"2019", D4:D1440,"Psicología Clínica y de la Salud")</f>
        <v>2</v>
      </c>
      <c r="Z37" s="5">
        <f>COUNTIFS(   A4:A1440,"2020", D4:D1440,"Psicología Clínica y de la Salud")</f>
        <v>4</v>
      </c>
      <c r="AA37" s="5">
        <f>COUNTIFS(   A4:A1440,"2021", D4:D1440,"Psicología Clínica y de la Salud")</f>
        <v>7</v>
      </c>
      <c r="AB37" s="5">
        <f>COUNTIFS(  A4:A1440,"2022", D4:D1440,"Psicología Clínica y de la Salud")</f>
        <v>0</v>
      </c>
      <c r="AC37" s="19">
        <f>COUNTIFS(   N4:N1440,"2018", D4:D1440,"Psicología Clínica y de la Salud")</f>
        <v>2</v>
      </c>
      <c r="AD37" s="5">
        <f>COUNTIFS(   N4:N1440,"2019", D4:D1440,"Psicología Clínica y de la Salud")</f>
        <v>2</v>
      </c>
      <c r="AE37" s="5">
        <f>COUNTIFS(   N4:N1440,"2020", D4:D1440,"Psicología Clínica y de la Salud")</f>
        <v>4</v>
      </c>
      <c r="AF37" s="5">
        <f>COUNTIFS(   N4:N1440,"2021", D4:D1440,"Psicología Clínica y de la Salud")</f>
        <v>6</v>
      </c>
      <c r="AG37" s="5">
        <f>COUNTIFS(   N4:N1440,"2022", D4:D1440,"Psicología Clínica y de la Salud")</f>
        <v>3</v>
      </c>
      <c r="AH37" s="5">
        <f>COUNTIFS(   D4:D1440,"Psicología Clínica y de la Salud",G4:G1440,"Sí")</f>
        <v>1</v>
      </c>
      <c r="AI37" s="5">
        <f>COUNTIFS(   D4:D1440,"Psicología Clínica y de la Salud",G4:G1440,"No")</f>
        <v>16</v>
      </c>
      <c r="AJ37" s="5">
        <f>SUMIFS( E4:E1440, D4:D1440,"Psicología Clínica y de la Salud",G4:G1440,"Sí")</f>
        <v>2</v>
      </c>
      <c r="AK37" s="5">
        <f>SUMIFS( E4:E1440, D4:D1440,"Psicología Clínica y de la Salud",G4:G1440,"No")</f>
        <v>94</v>
      </c>
      <c r="AL37" s="5">
        <f>COUNTIFS(   D4:D1440,"Psicología Clínica y de la Salud",H4:H1440,"Sí")</f>
        <v>14</v>
      </c>
      <c r="AM37" s="5">
        <f>COUNTIFS(   D4:D1440,"Psicología Clínica y de la Salud",I4:I1440,"Sí")</f>
        <v>10</v>
      </c>
      <c r="AN37" s="5">
        <f>COUNTIFS(   D4:D1440,"Psicología Clínica y de la Salud",I4:I1440,"No")</f>
        <v>7</v>
      </c>
      <c r="AO37" s="5">
        <f>SUMIFS( E4:E1440, D4:D1440,"Psicología Clínica y de la Salud",I4:I1440,"Sí")</f>
        <v>72</v>
      </c>
      <c r="AP37" s="5">
        <f>SUMIFS( E4:E1440, D4:D1440,"Psicología Clínica y de la Salud",I4:I1440,"No")</f>
        <v>24</v>
      </c>
      <c r="AQ37" s="5">
        <f>COUNTIFS(   D4:D1440,"Psicología Clínica y de la Salud",J4:J1440,"Sí")</f>
        <v>17</v>
      </c>
      <c r="AR37" s="5">
        <f>COUNTIFS(   D4:D1440,"Psicología Clínica y de la Salud",K4:K1440,"Sí")</f>
        <v>5</v>
      </c>
      <c r="AS37" s="5">
        <f>COUNTIFS(   D4:D1440,"Psicología Clínica y de la Salud",L4:L1440,"Sí")</f>
        <v>0</v>
      </c>
      <c r="AT37" s="5">
        <f>SUMIFS( E4:E1440, D4:D1440,"Psicología Clínica y de la Salud")</f>
        <v>96</v>
      </c>
      <c r="AU37" s="5">
        <f>SUMIFS( E4:E1440, F4:F1440,"Hombre", D4:D1440,"Psicología Clínica y de la Salud")</f>
        <v>34</v>
      </c>
      <c r="AV37" s="5">
        <f>SUMIFS( E4:E1440, F4:F1440,"Mujer", D4:D1440,"Psicología Clínica y de la Salud")</f>
        <v>62</v>
      </c>
      <c r="AW37" s="19">
        <f>SUMIFS( E4:E1440, A4:A1440,"2018", D4:D1440,"Psicología Clínica y de la Salud")</f>
        <v>34</v>
      </c>
      <c r="AX37" s="5">
        <f>SUMIFS( E4:E1440, A4:A1440,"2019", D4:D1440,"Psicología Clínica y de la Salud")</f>
        <v>24</v>
      </c>
      <c r="AY37" s="5">
        <f>SUMIFS( E4:E1440, A4:A1440,"2020", D4:D1440,"Psicología Clínica y de la Salud")</f>
        <v>17</v>
      </c>
      <c r="AZ37" s="5">
        <f>SUMIFS( E4:E1440, A4:A1440,"2021", D4:D1440,"Psicología Clínica y de la Salud")</f>
        <v>21</v>
      </c>
      <c r="BA37" s="5">
        <f>SUMIFS( E4:E1440, A4:A1440,"2022", D4:D1440,"Psicología Clínica y de la Salud")</f>
        <v>0</v>
      </c>
      <c r="BB37" s="19">
        <f>SUMIFS( E4:E1440, N4:N1440,"2018", D4:D1440,"Psicología Clínica y de la Salud")</f>
        <v>15</v>
      </c>
      <c r="BC37" s="5">
        <f>SUMIFS( E4:E1440, N4:N1440,"2019", D4:D1440,"Psicología Clínica y de la Salud")</f>
        <v>19</v>
      </c>
      <c r="BD37" s="5">
        <f>SUMIFS( E4:E1440, N4:N1440,"2020", D4:D1440,"Psicología Clínica y de la Salud")</f>
        <v>36</v>
      </c>
      <c r="BE37" s="5">
        <f>SUMIFS( E4:E1440, N4:N1440,"2021", D4:D1440,"Psicología Clínica y de la Salud")</f>
        <v>24</v>
      </c>
      <c r="BF37" s="5">
        <f>SUMIFS( E4:E1440, N4:N1440,"2022", D4:D1440,"Psicología Clínica y de la Salud")</f>
        <v>2</v>
      </c>
      <c r="BG37" s="14">
        <f>AVERAGEIFS( E4:E1440, D4:D1440,"Psicología Clínica y de la Salud")</f>
        <v>6.8571428571428568</v>
      </c>
      <c r="BH37" s="14">
        <v>0</v>
      </c>
      <c r="BI37" s="14">
        <v>0</v>
      </c>
      <c r="BJ37" s="14">
        <v>0</v>
      </c>
      <c r="BK37" s="14">
        <f>AVERAGEIFS( E4:E1440, A4:A1440,"2021", D4:D1440,"Psicología Clínica y de la Salud")</f>
        <v>3.5</v>
      </c>
      <c r="BL37" s="37" t="e">
        <f>AVERAGEIFS( E4:E1440, A4:A1440,"2022", D4:D1440,"Psicología Clínica y de la Salud")</f>
        <v>#DIV/0!</v>
      </c>
      <c r="BM37" s="14">
        <v>6.333333333333333</v>
      </c>
      <c r="BN37" s="14">
        <v>0</v>
      </c>
      <c r="BO37" s="14">
        <v>0</v>
      </c>
      <c r="BP37" s="14">
        <v>0</v>
      </c>
      <c r="BQ37" s="14">
        <v>5.333333333333333</v>
      </c>
      <c r="BR37" s="14">
        <v>7.333333333333333</v>
      </c>
    </row>
    <row r="38" spans="1:70" ht="15" customHeight="1">
      <c r="A38" s="24">
        <v>2018</v>
      </c>
      <c r="B38" s="24" t="s">
        <v>4</v>
      </c>
      <c r="C38" s="24" t="s">
        <v>5</v>
      </c>
      <c r="D38" s="24"/>
      <c r="E38" s="23">
        <v>6</v>
      </c>
      <c r="F38" s="24" t="s">
        <v>207</v>
      </c>
      <c r="G38" s="24" t="s">
        <v>225</v>
      </c>
      <c r="H38" s="23" t="s">
        <v>226</v>
      </c>
      <c r="I38" s="24" t="s">
        <v>225</v>
      </c>
      <c r="J38" s="23" t="s">
        <v>226</v>
      </c>
      <c r="K38" s="24" t="s">
        <v>226</v>
      </c>
      <c r="L38" s="23"/>
      <c r="M38" s="25">
        <v>43385</v>
      </c>
      <c r="N38" s="24">
        <v>2018</v>
      </c>
      <c r="O38" s="67" t="s">
        <v>38</v>
      </c>
      <c r="P38" s="68"/>
      <c r="Q38" s="68"/>
      <c r="R38" s="68"/>
      <c r="S38" s="68"/>
      <c r="T38" s="69"/>
      <c r="U38" s="5">
        <f>COUNTIFS(   D4:D1440,"Psicología Experimental y Aplicada")</f>
        <v>12</v>
      </c>
      <c r="V38" s="5">
        <f>COUNTIFS(   D4:D1440,"Psicología Experimental y Aplicada",F4:F1440,"Hombre")</f>
        <v>5</v>
      </c>
      <c r="W38" s="5">
        <f>COUNTIFS(   D4:D1440,"Psicología Experimental y Aplicada",F4:F1440,"Mujer")</f>
        <v>7</v>
      </c>
      <c r="X38" s="19">
        <f>COUNTIFS(   A4:A1440,"2018", D4:D1440,"Psicología Experimental y Aplicada")</f>
        <v>3</v>
      </c>
      <c r="Y38" s="5">
        <f>COUNTIFS(   A4:A1440,"2019", D4:D1440,"Psicología Experimental y Aplicada")</f>
        <v>5</v>
      </c>
      <c r="Z38" s="5">
        <f>COUNTIFS(   A4:A1440,"2020", D4:D1440,"Psicología Experimental y Aplicada")</f>
        <v>3</v>
      </c>
      <c r="AA38" s="5">
        <f>COUNTIFS(   A4:A1440,"2021", D4:D1440,"Psicología Experimental y Aplicada")</f>
        <v>1</v>
      </c>
      <c r="AB38" s="5">
        <f>COUNTIFS(  A4:A1440,"2022", D4:D1440,"Psicología Experimental y Aplicada")</f>
        <v>0</v>
      </c>
      <c r="AC38" s="19">
        <f>COUNTIFS(   N4:N1440,"2018", D4:D1440,"Psicología Experimental y Aplicada")</f>
        <v>1</v>
      </c>
      <c r="AD38" s="5">
        <f>COUNTIFS(   N4:N1440,"2019", D4:D1440,"Psicología Experimental y Aplicada")</f>
        <v>2</v>
      </c>
      <c r="AE38" s="5">
        <f>COUNTIFS(   N4:N1440,"2020", D4:D1440,"Psicología Experimental y Aplicada")</f>
        <v>5</v>
      </c>
      <c r="AF38" s="5">
        <f>COUNTIFS(   N4:N1440,"2021", D4:D1440,"Psicología Experimental y Aplicada")</f>
        <v>3</v>
      </c>
      <c r="AG38" s="5">
        <f>COUNTIFS(   N4:N1440,"2022", D4:D1440,"Psicología Experimental y Aplicada")</f>
        <v>1</v>
      </c>
      <c r="AH38" s="5">
        <f>COUNTIFS(   D4:D1440,"Psicología Experimental y Aplicada",G4:G1440,"Sí")</f>
        <v>0</v>
      </c>
      <c r="AI38" s="5">
        <f>COUNTIFS(   D4:D1440,"Psicología Experimental y Aplicada",G4:G1440,"No")</f>
        <v>12</v>
      </c>
      <c r="AJ38" s="5">
        <f>SUMIFS( E4:E1440, D4:D1440,"Psicología Experimental y Aplicada",G4:G1440,"Sí")</f>
        <v>0</v>
      </c>
      <c r="AK38" s="5">
        <f>SUMIFS( E4:E1440, D4:D1440,"Psicología Experimental y Aplicada",G4:G1440,"No")</f>
        <v>70</v>
      </c>
      <c r="AL38" s="5">
        <f>COUNTIFS(   D4:D1440,"Psicología Experimental y Aplicada",H4:H1440,"Sí")</f>
        <v>9</v>
      </c>
      <c r="AM38" s="5">
        <f>COUNTIFS(   D4:D1440,"Psicología Experimental y Aplicada",I4:I1440,"Sí")</f>
        <v>8</v>
      </c>
      <c r="AN38" s="5">
        <f>COUNTIFS(   D4:D1440,"Psicología Experimental y Aplicada",I4:I1440,"No")</f>
        <v>4</v>
      </c>
      <c r="AO38" s="5">
        <f>SUMIFS( E4:E1440, D4:D1440,"Psicología Experimental y Aplicada",I4:I1440,"Sí")</f>
        <v>67</v>
      </c>
      <c r="AP38" s="5">
        <f>SUMIFS( E4:E1440, D4:D1440,"Psicología Experimental y Aplicada",I4:I1440,"No")</f>
        <v>3</v>
      </c>
      <c r="AQ38" s="5">
        <f>COUNTIFS(   D4:D1440,"Psicología Experimental y Aplicada",J4:J1440,"Sí")</f>
        <v>12</v>
      </c>
      <c r="AR38" s="5">
        <f>COUNTIFS(   D4:D1440,"Psicología Experimental y Aplicada",K4:K1440,"Sí")</f>
        <v>4</v>
      </c>
      <c r="AS38" s="5">
        <f>COUNTIFS(   D4:D1440,"Psicología Experimental y Aplicada",L4:L1440,"Sí")</f>
        <v>0</v>
      </c>
      <c r="AT38" s="5">
        <f>SUMIFS( E4:E1440, D4:D1440,"Psicología Experimental y Aplicada")</f>
        <v>70</v>
      </c>
      <c r="AU38" s="5">
        <f>SUMIFS( E4:E1440, F4:F1440,"Hombre", D4:D1440,"Psicología Experimental y Aplicada")</f>
        <v>29</v>
      </c>
      <c r="AV38" s="5">
        <f>SUMIFS( E4:E1440, F4:F1440,"Mujer", D4:D1440,"Psicología Experimental y Aplicada")</f>
        <v>41</v>
      </c>
      <c r="AW38" s="19">
        <f>SUMIFS( E4:E1440, A4:A1440,"2018", D4:D1440,"Psicología Experimental y Aplicada")</f>
        <v>27</v>
      </c>
      <c r="AX38" s="5">
        <f>SUMIFS( E4:E1440, A4:A1440,"2019", D4:D1440,"Psicología Experimental y Aplicada")</f>
        <v>25</v>
      </c>
      <c r="AY38" s="5">
        <f>SUMIFS( E4:E1440, A4:A1440,"2020", D4:D1440,"Psicología Experimental y Aplicada")</f>
        <v>13</v>
      </c>
      <c r="AZ38" s="5">
        <f>SUMIFS( E4:E1440, A4:A1440,"2021", D4:D1440,"Psicología Experimental y Aplicada")</f>
        <v>5</v>
      </c>
      <c r="BA38" s="5">
        <f>SUMIFS( E4:E1440, A4:A1440,"2022", D4:D1440,"Psicología Experimental y Aplicada")</f>
        <v>0</v>
      </c>
      <c r="BB38" s="19">
        <f>SUMIFS( E4:E1440, N4:N1440,"2018", D4:D1440,"Psicología Experimental y Aplicada")</f>
        <v>1</v>
      </c>
      <c r="BC38" s="5">
        <f>SUMIFS( E4:E1440, N4:N1440,"2019", D4:D1440,"Psicología Experimental y Aplicada")</f>
        <v>26</v>
      </c>
      <c r="BD38" s="5">
        <f>SUMIFS( E4:E1440, N4:N1440,"2020", D4:D1440,"Psicología Experimental y Aplicada")</f>
        <v>25</v>
      </c>
      <c r="BE38" s="5">
        <f>SUMIFS( E4:E1440, N4:N1440,"2021", D4:D1440,"Psicología Experimental y Aplicada")</f>
        <v>13</v>
      </c>
      <c r="BF38" s="5">
        <f>SUMIFS( E4:E1440, N4:N1440,"2022", D4:D1440,"Psicología Experimental y Aplicada")</f>
        <v>5</v>
      </c>
      <c r="BG38" s="14">
        <f>AVERAGEIFS( E4:E1440, D4:D1440,"Psicología Experimental y Aplicada")</f>
        <v>7.7777777777777777</v>
      </c>
      <c r="BH38" s="14">
        <v>0</v>
      </c>
      <c r="BI38" s="14">
        <v>0</v>
      </c>
      <c r="BJ38" s="14">
        <f>AVERAGEIFS( E4:E1440, A4:A1440,"2020", D4:D1440,"Psicología Experimental y Aplicada")</f>
        <v>4.333333333333333</v>
      </c>
      <c r="BK38" s="14">
        <f>AVERAGEIFS( E4:E1440, A4:A1440,"2021", D4:D1440,"Psicología Experimental y Aplicada")</f>
        <v>5</v>
      </c>
      <c r="BL38" s="37" t="e">
        <f>AVERAGEIFS( E4:E1440, A4:A1440,"2022", D4:D1440,"Psicología Experimental y Aplicada")</f>
        <v>#DIV/0!</v>
      </c>
      <c r="BM38" s="14">
        <v>3.75</v>
      </c>
      <c r="BN38" s="14">
        <v>0</v>
      </c>
      <c r="BO38" s="14">
        <v>0</v>
      </c>
      <c r="BP38" s="14">
        <v>5</v>
      </c>
      <c r="BQ38" s="14">
        <v>2</v>
      </c>
      <c r="BR38" s="14">
        <v>4</v>
      </c>
    </row>
    <row r="39" spans="1:70" ht="15" customHeight="1">
      <c r="A39" s="24">
        <v>2018</v>
      </c>
      <c r="B39" s="24" t="s">
        <v>136</v>
      </c>
      <c r="C39" s="24" t="s">
        <v>137</v>
      </c>
      <c r="D39" s="24" t="s">
        <v>144</v>
      </c>
      <c r="E39" s="23">
        <v>2</v>
      </c>
      <c r="F39" s="24" t="s">
        <v>211</v>
      </c>
      <c r="G39" s="24" t="s">
        <v>225</v>
      </c>
      <c r="H39" s="23" t="s">
        <v>226</v>
      </c>
      <c r="I39" s="24" t="s">
        <v>226</v>
      </c>
      <c r="J39" s="23" t="s">
        <v>226</v>
      </c>
      <c r="K39" s="24" t="s">
        <v>226</v>
      </c>
      <c r="L39" s="23"/>
      <c r="M39" s="26" t="s">
        <v>260</v>
      </c>
      <c r="N39" s="24">
        <v>2018</v>
      </c>
      <c r="O39" s="67" t="s">
        <v>37</v>
      </c>
      <c r="P39" s="68"/>
      <c r="Q39" s="68"/>
      <c r="R39" s="68"/>
      <c r="S39" s="68"/>
      <c r="T39" s="69"/>
      <c r="U39" s="5">
        <f>COUNTIFS(   D4:D1440,"Psicología Social y Educativa")</f>
        <v>15</v>
      </c>
      <c r="V39" s="5">
        <f>COUNTIFS(   D4:D1440,"Psicología Social y Educativa",F4:F1440,"Hombre")</f>
        <v>6</v>
      </c>
      <c r="W39" s="5">
        <f>COUNTIFS(   D4:D1440,"Psicología Social y Educativa",F4:F1440,"Mujer")</f>
        <v>9</v>
      </c>
      <c r="X39" s="19">
        <f>COUNTIFS(   A4:A1440,"2018", D4:D1440,"Psicología Social y Educativa")</f>
        <v>5</v>
      </c>
      <c r="Y39" s="5">
        <f>COUNTIFS(   A4:A1440,"2019", D4:D1440,"Psicología Social y Educativa")</f>
        <v>4</v>
      </c>
      <c r="Z39" s="5">
        <f>COUNTIFS(   A4:A1440,"2020", D4:D1440,"Psicología Social y Educativa")</f>
        <v>5</v>
      </c>
      <c r="AA39" s="5">
        <f>COUNTIFS(   A4:A1440,"2021", D4:D1440,"Psicología Social y Educativa")</f>
        <v>1</v>
      </c>
      <c r="AB39" s="5">
        <f>COUNTIFS(  A4:A1440,"2022", D4:D1440,"Psicología Social y Educativa")</f>
        <v>0</v>
      </c>
      <c r="AC39" s="19">
        <f>COUNTIFS(   N4:N1440,"2018", D4:D1440,"Psicología Social y Educativa")</f>
        <v>2</v>
      </c>
      <c r="AD39" s="5">
        <f>COUNTIFS(   N4:N1440,"2019", D4:D1440,"Psicología Social y Educativa")</f>
        <v>5</v>
      </c>
      <c r="AE39" s="5">
        <f>COUNTIFS(   N4:N1440,"2020", D4:D1440,"Psicología Social y Educativa")</f>
        <v>4</v>
      </c>
      <c r="AF39" s="5">
        <f>COUNTIFS(   N4:N1440,"2021", D4:D1440,"Psicología Social y Educativa")</f>
        <v>3</v>
      </c>
      <c r="AG39" s="5">
        <f>COUNTIFS(   N4:N1440,"2022", D4:D1440,"Psicología Social y Educativa")</f>
        <v>1</v>
      </c>
      <c r="AH39" s="5">
        <f>COUNTIFS(   D4:D1440,"Psicología Social y Educativa",G4:G1440,"Sí")</f>
        <v>0</v>
      </c>
      <c r="AI39" s="5">
        <f>COUNTIFS(   D4:D1440,"Psicología Social y Educativa",G4:G1440,"No")</f>
        <v>15</v>
      </c>
      <c r="AJ39" s="5">
        <f>SUMIFS( E4:E1440, D4:D1440,"Psicología Social y Educativa",G4:G1440,"Sí")</f>
        <v>0</v>
      </c>
      <c r="AK39" s="5">
        <f>SUMIFS( E4:E1440, D4:D1440,"Psicología Social y Educativa",G4:G1440,"No")</f>
        <v>122</v>
      </c>
      <c r="AL39" s="5">
        <f>COUNTIFS(   D4:D1440,"Psicología Social y Educativa",H4:H1440,"Sí")</f>
        <v>13</v>
      </c>
      <c r="AM39" s="5">
        <f>COUNTIFS(   D4:D1440,"Psicología Social y Educativa",I4:I1440,"Sí")</f>
        <v>13</v>
      </c>
      <c r="AN39" s="5">
        <f>COUNTIFS(   D4:D1440,"Psicología Social y Educativa",I4:I1440,"No")</f>
        <v>2</v>
      </c>
      <c r="AO39" s="5">
        <f>SUMIFS( E4:E1440, D4:D1440,"Psicología Social y Educativa",I4:I1440,"Sí")</f>
        <v>119</v>
      </c>
      <c r="AP39" s="5">
        <f>SUMIFS( E4:E1440, D4:D1440,"Psicología Social y Educativa",I4:I1440,"No")</f>
        <v>3</v>
      </c>
      <c r="AQ39" s="5">
        <f>COUNTIFS(   D4:D1440,"Psicología Social y Educativa",J4:J1440,"Sí")</f>
        <v>15</v>
      </c>
      <c r="AR39" s="5">
        <f>COUNTIFS(   D4:D1440,"Psicología Social y Educativa",K4:K1440,"Sí")</f>
        <v>7</v>
      </c>
      <c r="AS39" s="5">
        <f>COUNTIFS(   D4:D1440,"Psicología Social y Educativa",L4:L1440,"Sí")</f>
        <v>0</v>
      </c>
      <c r="AT39" s="5">
        <f>SUMIFS( E4:E1440, D4:D1440,"Psicología Social y Educativa")</f>
        <v>122</v>
      </c>
      <c r="AU39" s="5">
        <f>SUMIFS( E4:E1440, F4:F1440,"Hombre", D4:D1440,"Psicología Social y Educativa")</f>
        <v>67</v>
      </c>
      <c r="AV39" s="5">
        <f>SUMIFS( E4:E1440, F4:F1440,"Mujer", D4:D1440,"Psicología Social y Educativa")</f>
        <v>55</v>
      </c>
      <c r="AW39" s="19">
        <f>SUMIFS( E4:E1440, A4:A1440,"2018", D4:D1440,"Psicología Social y Educativa")</f>
        <v>62</v>
      </c>
      <c r="AX39" s="5">
        <f>SUMIFS( E4:E1440, A4:A1440,"2019", D4:D1440,"Psicología Social y Educativa")</f>
        <v>28</v>
      </c>
      <c r="AY39" s="5">
        <f>SUMIFS( E4:E1440, A4:A1440,"2020", D4:D1440,"Psicología Social y Educativa")</f>
        <v>30</v>
      </c>
      <c r="AZ39" s="5">
        <f>SUMIFS( E4:E1440, A4:A1440,"2021", D4:D1440,"Psicología Social y Educativa")</f>
        <v>2</v>
      </c>
      <c r="BA39" s="5">
        <f>SUMIFS( E4:E1440, A4:A1440,"2022", D4:D1440,"Psicología Social y Educativa")</f>
        <v>0</v>
      </c>
      <c r="BB39" s="19">
        <f>SUMIFS( E4:E1440, N4:N1440,"2018", D4:D1440,"Psicología Social y Educativa")</f>
        <v>38</v>
      </c>
      <c r="BC39" s="5">
        <f>SUMIFS( E4:E1440, N4:N1440,"2019", D4:D1440,"Psicología Social y Educativa")</f>
        <v>45</v>
      </c>
      <c r="BD39" s="5">
        <f>SUMIFS( E4:E1440, N4:N1440,"2020", D4:D1440,"Psicología Social y Educativa")</f>
        <v>11</v>
      </c>
      <c r="BE39" s="5">
        <f>SUMIFS( E4:E1440, N4:N1440,"2021", D4:D1440,"Psicología Social y Educativa")</f>
        <v>26</v>
      </c>
      <c r="BF39" s="5">
        <f>SUMIFS( E4:E1440, N4:N1440,"2022", D4:D1440,"Psicología Social y Educativa")</f>
        <v>2</v>
      </c>
      <c r="BG39" s="14">
        <f>AVERAGEIFS( E4:E1440, D4:D1440,"Psicología Social y Educativa")</f>
        <v>8.7142857142857135</v>
      </c>
      <c r="BH39" s="14">
        <v>0</v>
      </c>
      <c r="BI39" s="14">
        <v>0</v>
      </c>
      <c r="BJ39" s="14">
        <v>0</v>
      </c>
      <c r="BK39" s="14">
        <v>0</v>
      </c>
      <c r="BL39" s="37" t="e">
        <f>AVERAGEIFS( E4:E1440, A4:A1440,"2022", D4:D1440,"Psicología Social y Educativa")</f>
        <v>#DIV/0!</v>
      </c>
      <c r="BM39" s="14">
        <v>1</v>
      </c>
      <c r="BN39" s="14">
        <v>0</v>
      </c>
      <c r="BO39" s="14">
        <v>0</v>
      </c>
      <c r="BP39" s="14">
        <v>0</v>
      </c>
      <c r="BQ39" s="14">
        <v>0</v>
      </c>
      <c r="BR39" s="14">
        <v>1</v>
      </c>
    </row>
    <row r="40" spans="1:70" ht="15" customHeight="1">
      <c r="A40" s="24">
        <v>2018</v>
      </c>
      <c r="B40" s="24" t="s">
        <v>136</v>
      </c>
      <c r="C40" s="24" t="s">
        <v>160</v>
      </c>
      <c r="D40" s="24" t="s">
        <v>164</v>
      </c>
      <c r="E40" s="23">
        <v>1</v>
      </c>
      <c r="F40" s="24" t="s">
        <v>207</v>
      </c>
      <c r="G40" s="24" t="s">
        <v>225</v>
      </c>
      <c r="H40" s="23" t="s">
        <v>226</v>
      </c>
      <c r="I40" s="24" t="s">
        <v>225</v>
      </c>
      <c r="J40" s="23" t="s">
        <v>226</v>
      </c>
      <c r="K40" s="24" t="s">
        <v>226</v>
      </c>
      <c r="L40" s="23"/>
      <c r="M40" s="26" t="s">
        <v>261</v>
      </c>
      <c r="N40" s="24">
        <v>2018</v>
      </c>
      <c r="O40" s="83" t="s">
        <v>41</v>
      </c>
      <c r="P40" s="84"/>
      <c r="Q40" s="84"/>
      <c r="R40" s="84"/>
      <c r="S40" s="84"/>
      <c r="T40" s="85"/>
      <c r="U40" s="5">
        <f>COUNTIFS(   D4:D1440,"Metodología de Investigación y medición en psicología y salud.")</f>
        <v>4</v>
      </c>
      <c r="V40" s="5">
        <f>COUNTIFS(   D4:D1440,"Metodología de Investigación y medición en psicología y salud.",F4:F1440,"Hombre")</f>
        <v>1</v>
      </c>
      <c r="W40" s="5">
        <f>COUNTIFS(   D4:D1440,"Metodología de Investigación y medición en psicología y salud.",F4:F1440,"Mujer")</f>
        <v>3</v>
      </c>
      <c r="X40" s="19">
        <f>COUNTIFS(   A4:A1440,"2018", D4:D1440,"Metodología de Investigación y medición en psicología y salud.")</f>
        <v>1</v>
      </c>
      <c r="Y40" s="5">
        <f>COUNTIFS(   A4:A1440,"2019", D4:D1440,"Metodología de Investigación y medición en psicología y salud.")</f>
        <v>1</v>
      </c>
      <c r="Z40" s="5">
        <f>COUNTIFS(   A4:A1440,"2020", D4:D1440,"Metodología de Investigación y medición en psicología y salud.")</f>
        <v>0</v>
      </c>
      <c r="AA40" s="5">
        <f>COUNTIFS(   A4:A1440,"2021", D4:D1440,"Metodología de Investigación y medición en psicología y salud.")</f>
        <v>2</v>
      </c>
      <c r="AB40" s="5">
        <f>COUNTIFS(  A4:A1440,"2022", D4:D1440,"Metodología de Investigación y medición en psicología y salud.")</f>
        <v>0</v>
      </c>
      <c r="AC40" s="19">
        <f>COUNTIFS(   N4:N1440,"2018", D4:D1440,"Metodología de Investigación y medición en psicología y salud.")</f>
        <v>0</v>
      </c>
      <c r="AD40" s="5">
        <f>COUNTIFS(   N4:N1440,"2019", D4:D1440,"Metodología de Investigación y medición en psicología y salud.")</f>
        <v>1</v>
      </c>
      <c r="AE40" s="5">
        <f>COUNTIFS(   N4:N1440,"2020", D4:D1440,"Metodología de Investigación y medición en psicología y salud.")</f>
        <v>1</v>
      </c>
      <c r="AF40" s="5">
        <f>COUNTIFS(   N4:N1440,"2021", D4:D1440,"Metodología de Investigación y medición en psicología y salud.")</f>
        <v>1</v>
      </c>
      <c r="AG40" s="5">
        <f>COUNTIFS(   N4:N1440,"2022", D4:D1440,"Metodología de Investigación y medición en psicología y salud.")</f>
        <v>1</v>
      </c>
      <c r="AH40" s="5">
        <f>COUNTIFS(   D4:D1440,"Metodología de Investigación y medición en psicología y salud.",G4:G1440,"Sí")</f>
        <v>0</v>
      </c>
      <c r="AI40" s="5">
        <f>COUNTIFS(   D4:D1440,"Metodología de Investigación y medición en psicología y salud.",G4:G1440,"No")</f>
        <v>4</v>
      </c>
      <c r="AJ40" s="5">
        <f>SUMIFS( E4:E1440, D4:D1440,"Metodología de Investigación y medición en psicología y salud.",G4:G1440,"Sí")</f>
        <v>0</v>
      </c>
      <c r="AK40" s="5">
        <f>SUMIFS( E4:E1440, D4:D1440,"Metodología de Investigación y medición en psicología y salud.",G4:G1440,"No")</f>
        <v>57</v>
      </c>
      <c r="AL40" s="5">
        <f>COUNTIFS(   D4:D1440,"Metodología de Investigación y medición en psicología y salud.",H4:H1440,"Sí")</f>
        <v>4</v>
      </c>
      <c r="AM40" s="5">
        <f>COUNTIFS(   D4:D1440,"Metodología de Investigación y medición en psicología y salud.",I4:I1440,"Sí")</f>
        <v>1</v>
      </c>
      <c r="AN40" s="5">
        <f>COUNTIFS(   D4:D1440,"Metodología de Investigación y medición en psicología y salud.",I4:I1440,"No")</f>
        <v>3</v>
      </c>
      <c r="AO40" s="5">
        <f>SUMIFS( E4:E1440, D4:D1440,"Metodología de Investigación y medición en psicología y salud.",I4:I1440,"Sí")</f>
        <v>4</v>
      </c>
      <c r="AP40" s="5">
        <f>SUMIFS( E4:E1440, D4:D1440,"Metodología de Investigación y medición en psicología y salud.",I4:I1440,"No")</f>
        <v>53</v>
      </c>
      <c r="AQ40" s="5">
        <f>COUNTIFS(   D4:D1440,"Metodología de Investigación y medición en psicología y salud.",J4:J1440,"Sí")</f>
        <v>4</v>
      </c>
      <c r="AR40" s="5">
        <f>COUNTIFS(   D4:D1440,"Metodología de Investigación y medición en psicología y salud.",K4:K1440,"Sí")</f>
        <v>1</v>
      </c>
      <c r="AS40" s="5">
        <f>COUNTIFS(   D4:D1440,"Metodología de Investigación y medición en psicología y salud.",L4:L1440,"Sí")</f>
        <v>0</v>
      </c>
      <c r="AT40" s="5">
        <f>SUMIFS( E4:E1440, D4:D1440,"Metodología de Investigación y medición en psicología y salud.")</f>
        <v>57</v>
      </c>
      <c r="AU40" s="5">
        <f>SUMIFS( E4:E1440, F4:F1440,"Hombre", D4:D1440,"Metodología de Investigación y medición en psicología y salud.")</f>
        <v>4</v>
      </c>
      <c r="AV40" s="5">
        <f>SUMIFS( E4:E1440, F4:F1440,"Mujer", D4:D1440,"Metodología de Investigación y medición en psicología y salud.")</f>
        <v>53</v>
      </c>
      <c r="AW40" s="19">
        <f>SUMIFS( E4:E1440, A4:A1440,"2018", D4:D1440,"Metodología de Investigación y medición en psicología y salud.")</f>
        <v>17</v>
      </c>
      <c r="AX40" s="5">
        <f>SUMIFS( E4:E1440, A4:A1440,"2019", D4:D1440,"Metodología de Investigación y medición en psicología y salud.")</f>
        <v>26</v>
      </c>
      <c r="AY40" s="5">
        <f>SUMIFS( E4:E1440, A4:A1440,"2020", D4:D1440,"Metodología de Investigación y medición en psicología y salud.")</f>
        <v>0</v>
      </c>
      <c r="AZ40" s="5">
        <f>SUMIFS( E4:E1440, A4:A1440,"2021", D4:D1440,"Metodología de Investigación y medición en psicología y salud.")</f>
        <v>14</v>
      </c>
      <c r="BA40" s="5">
        <f>SUMIFS( E4:E1440, A4:A1440,"2022", D4:D1440,"Metodología de Investigación y medición en psicología y salud.")</f>
        <v>0</v>
      </c>
      <c r="BB40" s="19">
        <f>SUMIFS( E4:E1440, N4:N1440,"2018", D4:D1440,"Metodología de Investigación y medición en psicología y salud.")</f>
        <v>0</v>
      </c>
      <c r="BC40" s="5">
        <f>SUMIFS( E4:E1440, N4:N1440,"2019", D4:D1440,"Metodología de Investigación y medición en psicología y salud.")</f>
        <v>17</v>
      </c>
      <c r="BD40" s="5">
        <f>SUMIFS( E4:E1440, N4:N1440,"2020", D4:D1440,"Metodología de Investigación y medición en psicología y salud.")</f>
        <v>26</v>
      </c>
      <c r="BE40" s="5">
        <f>SUMIFS( E4:E1440, N4:N1440,"2021", D4:D1440,"Metodología de Investigación y medición en psicología y salud.")</f>
        <v>4</v>
      </c>
      <c r="BF40" s="5">
        <f>SUMIFS( E4:E1440, N4:N1440,"2022", D4:D1440,"Metodología de Investigación y medición en psicología y salud.")</f>
        <v>10</v>
      </c>
      <c r="BG40" s="14">
        <f>AVERAGEIFS( E4:E1440, D4:D1440,"Metodología de Investigación y medición en psicología y salud.")</f>
        <v>14.25</v>
      </c>
      <c r="BH40" s="14">
        <v>0</v>
      </c>
      <c r="BI40" s="14">
        <v>0</v>
      </c>
      <c r="BJ40" s="14">
        <v>0</v>
      </c>
      <c r="BK40" s="14">
        <f>AVERAGEIFS( E4:E1440, A4:A1440,"2021", D4:D1440,"Metodología de Investigación y medición en psicología y salud.")</f>
        <v>7</v>
      </c>
      <c r="BL40" s="37">
        <v>0</v>
      </c>
      <c r="BM40" s="14">
        <v>11.5</v>
      </c>
      <c r="BN40" s="14">
        <v>0</v>
      </c>
      <c r="BO40" s="14">
        <v>0</v>
      </c>
      <c r="BP40" s="14">
        <v>0</v>
      </c>
      <c r="BQ40" s="14">
        <v>11.5</v>
      </c>
      <c r="BR40" s="14">
        <v>0</v>
      </c>
    </row>
    <row r="41" spans="1:70" ht="15" customHeight="1">
      <c r="A41" s="24">
        <v>2018</v>
      </c>
      <c r="B41" s="24" t="s">
        <v>136</v>
      </c>
      <c r="C41" s="24" t="s">
        <v>682</v>
      </c>
      <c r="D41" s="24" t="s">
        <v>167</v>
      </c>
      <c r="E41" s="23"/>
      <c r="F41" s="24" t="s">
        <v>211</v>
      </c>
      <c r="G41" s="24" t="s">
        <v>225</v>
      </c>
      <c r="H41" s="23" t="s">
        <v>226</v>
      </c>
      <c r="I41" s="24" t="s">
        <v>225</v>
      </c>
      <c r="J41" s="23" t="s">
        <v>226</v>
      </c>
      <c r="K41" s="24" t="s">
        <v>226</v>
      </c>
      <c r="L41" s="23"/>
      <c r="M41" s="26" t="s">
        <v>262</v>
      </c>
      <c r="N41" s="24">
        <v>2018</v>
      </c>
      <c r="O41" s="70" t="s">
        <v>220</v>
      </c>
      <c r="P41" s="71"/>
      <c r="Q41" s="71"/>
      <c r="R41" s="71"/>
      <c r="S41" s="71"/>
      <c r="T41" s="72"/>
      <c r="U41" s="3">
        <f>COUNTIFS(   B4:B451,"Ciencias, Tecnologías en Ingenierías")</f>
        <v>121</v>
      </c>
      <c r="V41" s="3">
        <f>COUNTIFS(   B4:B1440,"Ciencias, Tecnologías en Ingenierías",F4:F1440,"Hombre")</f>
        <v>244</v>
      </c>
      <c r="W41" s="3">
        <f>COUNTIFS(   B4:B1440,"Ciencias, Tecnologías en Ingenierías",F4:F1440,"Mujer")</f>
        <v>143</v>
      </c>
      <c r="X41" s="17">
        <f>COUNTIFS(   A4:A1440,"2018", B4:B1440,"Ciencias, Tecnologías en Ingenierías")</f>
        <v>88</v>
      </c>
      <c r="Y41" s="3">
        <f>COUNTIFS(   A4:A1440,"2019", B4:B1440,"Ciencias, Tecnologías en Ingenierías")</f>
        <v>118</v>
      </c>
      <c r="Z41" s="3">
        <f>COUNTIFS(   A4:A1440,"2020", B4:B1440,"Ciencias, Tecnologías en Ingenierías")</f>
        <v>108</v>
      </c>
      <c r="AA41" s="3">
        <f>COUNTIFS(   A4:A1440,"2021", B4:B1440,"Ciencias, Tecnologías en Ingenierías")</f>
        <v>73</v>
      </c>
      <c r="AB41" s="3">
        <f>COUNTIFS(   A4:A1440,"2022", B4:B1440,"Ciencias, Tecnologías en Ingenierías")</f>
        <v>0</v>
      </c>
      <c r="AC41" s="17">
        <f>COUNTIFS(   N4:N1440,"2018", B4:B1440,"Ciencias, Tecnologías en Ingenierías")</f>
        <v>27</v>
      </c>
      <c r="AD41" s="3">
        <f>COUNTIFS(   N4:N1440,"2019", B4:B1440,"Ciencias, Tecnologías en Ingenierías")</f>
        <v>110</v>
      </c>
      <c r="AE41" s="3">
        <f>COUNTIFS(   N4:N1440,"2020", B4:B1440,"Ciencias, Tecnologías en Ingenierías")</f>
        <v>98</v>
      </c>
      <c r="AF41" s="3">
        <f>COUNTIFS(   N4:N1440,"2021", B4:B1440,"Ciencias, Tecnologías en Ingenierías")</f>
        <v>109</v>
      </c>
      <c r="AG41" s="3">
        <f>COUNTIFS(   N4:N1440,"2022", B4:B1440,"Ciencias, Tecnologías en Ingenierías")</f>
        <v>43</v>
      </c>
      <c r="AH41" s="3">
        <f>COUNTIFS(   B4:B1440,"Ciencias, Tecnologías en Ingenierías",G4:G1440,"Sí")</f>
        <v>34</v>
      </c>
      <c r="AI41" s="3">
        <f>COUNTIFS(   B4:B1440,"Ciencias, Tecnologías en Ingenierías",G4:G1440,"No")</f>
        <v>353</v>
      </c>
      <c r="AJ41" s="3">
        <f>SUMIFS( E4:E1440, B4:B1440,"Ciencias, Tecnologías en Ingenierías",G4:G1440,"Sí")</f>
        <v>154</v>
      </c>
      <c r="AK41" s="3">
        <f>SUMIFS( E4:E1440, B4:B1440,"Ciencias, Tecnologías en Ingenierías",G4:G1440,"No")</f>
        <v>2228</v>
      </c>
      <c r="AL41" s="3">
        <f>COUNTIFS(   B4:B1440,"Ciencias, Tecnologías en Ingenierías",H4:H1440,"Sí")</f>
        <v>307</v>
      </c>
      <c r="AM41" s="3">
        <f>COUNTIFS(   B4:B1440,"Ciencias, Tecnologías en Ingenierías",I4:I1440,"Sí")</f>
        <v>200</v>
      </c>
      <c r="AN41" s="3">
        <f>COUNTIFS(   B4:B1440,"Ciencias, Tecnologías en Ingenierías",I4:I1440,"No")</f>
        <v>187</v>
      </c>
      <c r="AO41" s="3">
        <f>SUMIFS( E4:E1440, B4:B1440,"Ciencias, Tecnologías en Ingenierías",I4:I1440,"Sí")</f>
        <v>1462</v>
      </c>
      <c r="AP41" s="3">
        <f>SUMIFS( E4:E1440, B4:B1440,"Ciencias, Tecnologías en Ingenierías",I4:I1440,"No")</f>
        <v>920</v>
      </c>
      <c r="AQ41" s="3">
        <f>COUNTIFS(   B4:B1440,"Ciencias, Tecnologías en Ingenierías",J4:J1440,"Sí")</f>
        <v>387</v>
      </c>
      <c r="AR41" s="3">
        <f>COUNTIFS(   B4:B1440,"Ciencias, Tecnologías en Ingenierías",K4:K1440,"Sí")</f>
        <v>142</v>
      </c>
      <c r="AS41" s="3">
        <f>COUNTIFS(   B4:B1440,"Ciencias, Tecnologías en Ingenierías",L4:L1440,"Sí")</f>
        <v>0</v>
      </c>
      <c r="AT41" s="3">
        <f>SUMIFS( E4:E1440, B4:B1440,"Ciencias, Tecnologías en Ingenierías")</f>
        <v>2382</v>
      </c>
      <c r="AU41" s="3">
        <f>SUMIFS( E4:E1440, F4:F1440,"Hombre", B4:B1440,"Ciencias, Tecnologías en Ingenierías")</f>
        <v>1376</v>
      </c>
      <c r="AV41" s="3">
        <f>SUMIFS( E4:E1440, F4:F1440,"Mujer", B4:B1440,"Ciencias, Tecnologías en Ingenierías")</f>
        <v>1006</v>
      </c>
      <c r="AW41" s="17">
        <f>SUMIFS( E4:E1440, A4:A1440,"2018", B4:B1440,"Ciencias, Tecnologías en Ingenierías")</f>
        <v>826</v>
      </c>
      <c r="AX41" s="3">
        <f>SUMIFS( E4:E1440, A4:A1440,"2019", B4:B1440,"Ciencias, Tecnologías en Ingenierías")</f>
        <v>590</v>
      </c>
      <c r="AY41" s="3">
        <f>SUMIFS( E4:E1440, A4:A1440,"2020", B4:B1440,"Ciencias, Tecnologías en Ingenierías")</f>
        <v>573</v>
      </c>
      <c r="AZ41" s="3">
        <f>SUMIFS( E4:E1440, A4:A1440,"2021", B4:B1440,"Ciencias, Tecnologías en Ingenierías")</f>
        <v>393</v>
      </c>
      <c r="BA41" s="3">
        <f>SUMIFS( E4:E1440, A4:A1440,"2022", B4:B1440,"Ciencias, Tecnologías en Ingenierías")</f>
        <v>0</v>
      </c>
      <c r="BB41" s="17">
        <f>SUMIFS( E4:E1440, N4:N1440,"2018", B4:B1440,"Ciencias, Tecnologías en Ingenierías")</f>
        <v>438</v>
      </c>
      <c r="BC41" s="3">
        <f>SUMIFS( E4:E1440, N4:N1440,"2019", B4:B1440,"Ciencias, Tecnologías en Ingenierías")</f>
        <v>684</v>
      </c>
      <c r="BD41" s="3">
        <f>SUMIFS( E4:E1440, N4:N1440,"2020", B4:B1440,"Ciencias, Tecnologías en Ingenierías")</f>
        <v>440</v>
      </c>
      <c r="BE41" s="3">
        <f>SUMIFS( E4:E1440, N4:N1440,"2021", B4:B1440,"Ciencias, Tecnologías en Ingenierías")</f>
        <v>629</v>
      </c>
      <c r="BF41" s="3">
        <f>SUMIFS( E4:E1440, N4:N1440,"2022", B4:B1440,"Ciencias, Tecnologías en Ingenierías")</f>
        <v>191</v>
      </c>
      <c r="BG41" s="11">
        <f>AVERAGEIFS( E4:E1440, B4:B1440,"Ciencias, Tecnologías en Ingenierías")</f>
        <v>7.659163987138264</v>
      </c>
      <c r="BH41" s="11">
        <v>0</v>
      </c>
      <c r="BI41" s="11">
        <f>AVERAGEIFS( E4:E1440, A4:A1440,"2019", B4:B1440,"Ciencias, Tecnologías en Ingenierías")</f>
        <v>6.5555555555555554</v>
      </c>
      <c r="BJ41" s="11">
        <f>AVERAGEIFS( E4:E1440, A4:A1440,"2020", B4:B1440,"Ciencias, Tecnologías en Ingenierías")</f>
        <v>6.3666666666666663</v>
      </c>
      <c r="BK41" s="11">
        <f>AVERAGEIFS( E4:E1440, A4:A1440,"2021", B4:B1440,"Ciencias, Tecnologías en Ingenierías")</f>
        <v>6.2380952380952381</v>
      </c>
      <c r="BL41" s="37" t="e">
        <f>AVERAGEIFS( E4:E1440, A4:A1440,"2022", B4:B1440,"Ciencias, Tecnologías en Ingenierías")</f>
        <v>#DIV/0!</v>
      </c>
      <c r="BM41" s="11">
        <f>AVERAGE(AT42,AT62,AT74,AT78,AT86,AT96,AT110,AT120,AT125,AT139)</f>
        <v>238.2</v>
      </c>
      <c r="BN41" s="11">
        <v>0</v>
      </c>
      <c r="BO41" s="11">
        <f>AVERAGE(AX42,AX62,AX74,AX78,AX86,AX96,AX110,AX120,AX125,AX139)</f>
        <v>59</v>
      </c>
      <c r="BP41" s="11">
        <f>AVERAGE(AY42,AY62,AY74,AY78,AY86,AY96,AY110,AY120,AY125,AY139)</f>
        <v>57.3</v>
      </c>
      <c r="BQ41" s="11">
        <f>AVERAGE(AZ42,AZ62,AZ74,AZ78,AZ86,AZ96,AZ110,AZ120,AZ125,AZ139)</f>
        <v>39.299999999999997</v>
      </c>
      <c r="BR41" s="11">
        <f>AVERAGE(BA42,BA62,BA74,BA78,BA86,BA96,BA110,BA120,BA125,BA139)</f>
        <v>0</v>
      </c>
    </row>
    <row r="42" spans="1:70" ht="15" customHeight="1">
      <c r="A42" s="24">
        <v>2018</v>
      </c>
      <c r="B42" s="27" t="s">
        <v>78</v>
      </c>
      <c r="C42" s="24" t="s">
        <v>122</v>
      </c>
      <c r="D42" s="24" t="s">
        <v>124</v>
      </c>
      <c r="E42" s="23">
        <v>24</v>
      </c>
      <c r="F42" s="24" t="s">
        <v>211</v>
      </c>
      <c r="G42" s="24" t="s">
        <v>225</v>
      </c>
      <c r="H42" s="23" t="s">
        <v>226</v>
      </c>
      <c r="I42" s="24" t="s">
        <v>226</v>
      </c>
      <c r="J42" s="23" t="s">
        <v>226</v>
      </c>
      <c r="K42" s="24" t="s">
        <v>226</v>
      </c>
      <c r="L42" s="23"/>
      <c r="M42" s="26" t="s">
        <v>262</v>
      </c>
      <c r="N42" s="24">
        <v>2018</v>
      </c>
      <c r="O42" s="40" t="s">
        <v>49</v>
      </c>
      <c r="P42" s="41"/>
      <c r="Q42" s="41"/>
      <c r="R42" s="41"/>
      <c r="S42" s="41"/>
      <c r="T42" s="42"/>
      <c r="U42" s="4">
        <f>COUNTIFS(   C4:C1440,"Biología Fundamental y de Sistemas")</f>
        <v>77</v>
      </c>
      <c r="V42" s="4">
        <f>COUNTIFS(   C4:C1440,"Biología Fundamental y de Sistemas",F4:F1440,"Hombre")</f>
        <v>38</v>
      </c>
      <c r="W42" s="4">
        <f>COUNTIFS(   C4:C1440,"Biología Fundamental y de Sistemas",F4:F1440,"Mujer")</f>
        <v>39</v>
      </c>
      <c r="X42" s="18">
        <f>COUNTIFS(   A4:A1440,"2018", C4:C1440,"Biología Fundamental y de Sistemas")</f>
        <v>17</v>
      </c>
      <c r="Y42" s="4">
        <f>COUNTIFS(   A4:A1440,"2019", C4:C1440,"Biología Fundamental y de Sistemas")</f>
        <v>28</v>
      </c>
      <c r="Z42" s="4">
        <f>COUNTIFS(   A4:A1440,"2020", C4:C1440,"Biología Fundamental y de Sistemas")</f>
        <v>17</v>
      </c>
      <c r="AA42" s="4">
        <f>COUNTIFS(   A4:A1440,"2021", C4:C1440,"Biología Fundamental y de Sistemas")</f>
        <v>15</v>
      </c>
      <c r="AB42" s="4">
        <f>COUNTIFS(   A4:A1440,"2022", C4:C1440,"Biología Fundamental y de Sistemas")</f>
        <v>0</v>
      </c>
      <c r="AC42" s="18">
        <f>COUNTIFS(   N4:N1440,"2018", C4:C1440,"Biología Fundamental y de Sistemas")</f>
        <v>2</v>
      </c>
      <c r="AD42" s="4">
        <f>COUNTIFS(   N4:N1440,"2019", C4:C1440,"Biología Fundamental y de Sistemas")</f>
        <v>26</v>
      </c>
      <c r="AE42" s="4">
        <f>COUNTIFS(   N4:N1440,"2020", C4:C1440,"Biología Fundamental y de Sistemas")</f>
        <v>22</v>
      </c>
      <c r="AF42" s="4">
        <f>COUNTIFS(   N4:N1440,"2021", C4:C1440,"Biología Fundamental y de Sistemas")</f>
        <v>22</v>
      </c>
      <c r="AG42" s="4">
        <f>COUNTIFS(   N4:N1440,"2022", C4:C1440,"Biología Fundamental y de Sistemas")</f>
        <v>5</v>
      </c>
      <c r="AH42" s="4">
        <f>COUNTIFS(   C4:C1440,"Biología Fundamental y de Sistemas",G4:G1440,"Sí")</f>
        <v>5</v>
      </c>
      <c r="AI42" s="4">
        <f>COUNTIFS(   C4:C1440,"Biología Fundamental y de Sistemas",G4:G1440,"No")</f>
        <v>72</v>
      </c>
      <c r="AJ42" s="4">
        <f>SUMIFS( E4:E1440, C4:C1440,"Biología Fundamental y de Sistemas",G4:G1440,"Sí")</f>
        <v>14</v>
      </c>
      <c r="AK42" s="4">
        <f>SUMIFS( E4:E1440, C4:C1440,"Biología Fundamental y de Sistemas",G4:G1440,"No")</f>
        <v>472</v>
      </c>
      <c r="AL42" s="4">
        <f>COUNTIFS(   C4:C1440,"Biología Fundamental y de Sistemas",H4:H1440,"Sí")</f>
        <v>67</v>
      </c>
      <c r="AM42" s="4">
        <f>COUNTIFS(   C4:C1440,"Biología Fundamental y de Sistemas",I4:I1440,"Sí")</f>
        <v>50</v>
      </c>
      <c r="AN42" s="4">
        <f>COUNTIFS(   C4:C1440,"Biología Fundamental y de Sistemas",I4:I1440,"No")</f>
        <v>27</v>
      </c>
      <c r="AO42" s="4">
        <f>SUMIFS( E4:E1440, C4:C1440,"Biología Fundamental y de Sistemas",I4:I1440,"Sí")</f>
        <v>364</v>
      </c>
      <c r="AP42" s="4">
        <f>SUMIFS( E4:E1440, C4:C1440,"Biología Fundamental y de Sistemas",I4:I1440,"No")</f>
        <v>122</v>
      </c>
      <c r="AQ42" s="4">
        <f>COUNTIFS(   C4:C1440,"Biología Fundamental y de Sistemas",J4:J1440,"Sí")</f>
        <v>77</v>
      </c>
      <c r="AR42" s="4">
        <f>COUNTIFS(   C4:C1440,"Biología Fundamental y de Sistemas",K4:K1440,"Sí")</f>
        <v>33</v>
      </c>
      <c r="AS42" s="4">
        <f>COUNTIFS(   C4:C1440,"Biología Fundamental y de Sistemas",L4:L1440,"Sí")</f>
        <v>0</v>
      </c>
      <c r="AT42" s="4">
        <f>SUMIFS( E4:E1440, C4:C1440,"Biología Fundamental y de Sistemas")</f>
        <v>486</v>
      </c>
      <c r="AU42" s="4">
        <f>SUMIFS( E4:E1440, F4:F1440,"Hombre", C4:C1440,"Biología Fundamental y de Sistemas")</f>
        <v>268</v>
      </c>
      <c r="AV42" s="4">
        <f>SUMIFS( E4:E1440, F4:F1440,"Mujer", C4:C1440,"Biología Fundamental y de Sistemas")</f>
        <v>218</v>
      </c>
      <c r="AW42" s="18">
        <f>SUMIFS( E4:E1440, A4:A1440,"2018", C4:C1440,"Biología Fundamental y de Sistemas")</f>
        <v>124</v>
      </c>
      <c r="AX42" s="4">
        <f>SUMIFS( E4:E1440, A4:A1440,"2019", C4:C1440,"Biología Fundamental y de Sistemas")</f>
        <v>169</v>
      </c>
      <c r="AY42" s="4">
        <f>SUMIFS( E4:E1440, A4:A1440,"2020", C4:C1440,"Biología Fundamental y de Sistemas")</f>
        <v>89</v>
      </c>
      <c r="AZ42" s="4">
        <f>SUMIFS( E4:E1440, A4:A1440,"2021", C4:C1440,"Biología Fundamental y de Sistemas")</f>
        <v>104</v>
      </c>
      <c r="BA42" s="4">
        <f>SUMIFS( E4:E1440, A4:A1440,"2022", C4:C1440,"Biología Fundamental y de Sistemas")</f>
        <v>0</v>
      </c>
      <c r="BB42" s="18">
        <f>SUMIFS( E4:E1440, N4:N1440,"2018", C4:C1440,"Biología Fundamental y de Sistemas")</f>
        <v>4</v>
      </c>
      <c r="BC42" s="4">
        <f>SUMIFS( E4:E1440, N4:N1440,"2019", C4:C1440,"Biología Fundamental y de Sistemas")</f>
        <v>172</v>
      </c>
      <c r="BD42" s="4">
        <f>SUMIFS( E4:E1440, N4:N1440,"2020", C4:C1440,"Biología Fundamental y de Sistemas")</f>
        <v>141</v>
      </c>
      <c r="BE42" s="4">
        <f>SUMIFS( E4:E1440, N4:N1440,"2021", C4:C1440,"Biología Fundamental y de Sistemas")</f>
        <v>160</v>
      </c>
      <c r="BF42" s="4">
        <f>SUMIFS( E4:E1440, N4:N1440,"2022", C4:C1440,"Biología Fundamental y de Sistemas")</f>
        <v>9</v>
      </c>
      <c r="BG42" s="13">
        <f>AVERAGEIFS( E4:E1440, C4:C1440,"Biología Fundamental y de Sistemas")</f>
        <v>7.1470588235294121</v>
      </c>
      <c r="BH42" s="13">
        <v>0</v>
      </c>
      <c r="BI42" s="13">
        <f>AVERAGEIFS( E4:E1440, A4:A1440,"2019", C4:C1440,"Biología Fundamental y de Sistemas")</f>
        <v>7.041666666666667</v>
      </c>
      <c r="BJ42" s="13">
        <f>AVERAGEIFS( E4:E1440, A4:A1440,"2020", C4:C1440,"Biología Fundamental y de Sistemas")</f>
        <v>5.5625</v>
      </c>
      <c r="BK42" s="13">
        <f>AVERAGEIFS( E4:E1440, A4:A1440,"2021", C4:C1440,"Biología Fundamental y de Sistemas")</f>
        <v>7.4285714285714288</v>
      </c>
      <c r="BL42" s="37" t="e">
        <f>AVERAGEIFS( E4:E1440, A4:A1440,"2022", C4:C1440,"Biología Fundamental y de Sistemas")</f>
        <v>#DIV/0!</v>
      </c>
      <c r="BM42" s="13">
        <f>AVERAGE(AT43:AT61)</f>
        <v>25.315789473684209</v>
      </c>
      <c r="BN42" s="13">
        <v>0</v>
      </c>
      <c r="BO42" s="13">
        <f>AVERAGE(AX43:AX61)</f>
        <v>8.8947368421052637</v>
      </c>
      <c r="BP42" s="13">
        <f>AVERAGE(AY43:AY61)</f>
        <v>4.4210526315789478</v>
      </c>
      <c r="BQ42" s="13">
        <f>AVERAGE(AZ43:AZ61)</f>
        <v>5.4736842105263159</v>
      </c>
      <c r="BR42" s="13">
        <f>AVERAGE(BA43:BA61)</f>
        <v>0</v>
      </c>
    </row>
    <row r="43" spans="1:70" ht="15" customHeight="1">
      <c r="A43" s="24">
        <v>2018</v>
      </c>
      <c r="B43" s="24" t="s">
        <v>4</v>
      </c>
      <c r="C43" s="24" t="s">
        <v>23</v>
      </c>
      <c r="D43" s="24" t="s">
        <v>25</v>
      </c>
      <c r="E43" s="23"/>
      <c r="F43" s="24" t="s">
        <v>207</v>
      </c>
      <c r="G43" s="24" t="s">
        <v>225</v>
      </c>
      <c r="H43" s="23" t="s">
        <v>226</v>
      </c>
      <c r="I43" s="24" t="s">
        <v>226</v>
      </c>
      <c r="J43" s="23" t="s">
        <v>226</v>
      </c>
      <c r="K43" s="24" t="s">
        <v>226</v>
      </c>
      <c r="L43" s="23"/>
      <c r="M43" s="26" t="s">
        <v>262</v>
      </c>
      <c r="N43" s="24">
        <v>2018</v>
      </c>
      <c r="O43" s="67" t="s">
        <v>50</v>
      </c>
      <c r="P43" s="68"/>
      <c r="Q43" s="68"/>
      <c r="R43" s="68"/>
      <c r="S43" s="68"/>
      <c r="T43" s="69"/>
      <c r="U43" s="5">
        <f>COUNTIFS(   D4:D1440,"Antioxidantes y Señalización por Especies de Oxígeno y Nitrógeno Reactivo en Plantas")</f>
        <v>3</v>
      </c>
      <c r="V43" s="5">
        <f>COUNTIFS(   D4:D1440,"Antioxidantes y Señalización por Especies de Oxígeno y Nitrógeno Reactivo en Plantas",F4:F1440,"Hombre")</f>
        <v>1</v>
      </c>
      <c r="W43" s="5">
        <f>COUNTIFS(   D4:D1440,"Antioxidantes y Señalización por Especies de Oxígeno y Nitrógeno Reactivo en Plantas",F4:F1440,"Mujer")</f>
        <v>2</v>
      </c>
      <c r="X43" s="19">
        <f>COUNTIFS(   A4:A1440,"2018", D4:D1440,"Antioxidantes y Señalización por Especies de Oxígeno y Nitrógeno Reactivo en Plantas")</f>
        <v>0</v>
      </c>
      <c r="Y43" s="5">
        <f>COUNTIFS(   A4:A1440,"2019", D4:D1440,"Antioxidantes y Señalización por Especies de Oxígeno y Nitrógeno Reactivo en Plantas")</f>
        <v>1</v>
      </c>
      <c r="Z43" s="5">
        <f>COUNTIFS(   A4:A1440,"2020", D4:D1440,"Antioxidantes y Señalización por Especies de Oxígeno y Nitrógeno Reactivo en Plantas")</f>
        <v>0</v>
      </c>
      <c r="AA43" s="5">
        <f>COUNTIFS(   A4:A1440,"2021", D4:D1440,"Antioxidantes y Señalización por Especies de Oxígeno y Nitrógeno Reactivo en Plantas")</f>
        <v>2</v>
      </c>
      <c r="AB43" s="5">
        <f>COUNTIFS(  A4:A1440,"2022", D4:D1440,"Antioxidantes y Señalización por Especies de Oxígeno y Nitrógeno Reactivo en Plantas")</f>
        <v>0</v>
      </c>
      <c r="AC43" s="19">
        <f>COUNTIFS(   N4:N1440,"2018", D4:D1440,"Antioxidantes y Señalización por Especies de Oxígeno y Nitrógeno Reactivo en Plantas")</f>
        <v>0</v>
      </c>
      <c r="AD43" s="5">
        <f>COUNTIFS(   N4:N1440,"2019", D4:D1440,"Antioxidantes y Señalización por Especies de Oxígeno y Nitrógeno Reactivo en Plantas")</f>
        <v>0</v>
      </c>
      <c r="AE43" s="5">
        <f>COUNTIFS(   N4:N1440,"2020", D4:D1440,"Antioxidantes y Señalización por Especies de Oxígeno y Nitrógeno Reactivo en Plantas")</f>
        <v>1</v>
      </c>
      <c r="AF43" s="5">
        <f>COUNTIFS(   N4:N1440,"2021", D4:D1440,"Antioxidantes y Señalización por Especies de Oxígeno y Nitrógeno Reactivo en Plantas")</f>
        <v>2</v>
      </c>
      <c r="AG43" s="5">
        <f>COUNTIFS(   N4:N1440,"2022", D4:D1440,"Antioxidantes y Señalización por Especies de Oxígeno y Nitrógeno Reactivo en Plantas")</f>
        <v>0</v>
      </c>
      <c r="AH43" s="5">
        <f>COUNTIFS(   D4:D1440,"Antioxidantes y Señalización por Especies de Oxígeno y Nitrógeno Reactivo en Plantas",G4:G1440,"Sí")</f>
        <v>0</v>
      </c>
      <c r="AI43" s="5">
        <f>COUNTIFS(   D4:D1440,"Antioxidantes y Señalización por Especies de Oxígeno y Nitrógeno Reactivo en Plantas",G4:G1440,"No")</f>
        <v>3</v>
      </c>
      <c r="AJ43" s="5">
        <f>SUMIFS( E4:E1440, D4:D1440,"Antioxidantes y Señalización por Especies de Oxígeno y Nitrógeno Reactivo en Plantas",G4:G1440,"Sí")</f>
        <v>0</v>
      </c>
      <c r="AK43" s="5">
        <f>SUMIFS( E4:E1440, D4:D1440,"Antioxidantes y Señalización por Especies de Oxígeno y Nitrógeno Reactivo en Plantas",G4:G1440,"No")</f>
        <v>53</v>
      </c>
      <c r="AL43" s="5">
        <f>COUNTIFS(   D4:D1440,"Antioxidantes y Señalización por Especies de Oxígeno y Nitrógeno Reactivo en Plantas",H4:H1440,"Sí")</f>
        <v>3</v>
      </c>
      <c r="AM43" s="5">
        <f>COUNTIFS(   D4:D1440,"Antioxidantes y Señalización por Especies de Oxígeno y Nitrógeno Reactivo en Plantas",I4:I1440,"Sí")</f>
        <v>3</v>
      </c>
      <c r="AN43" s="5">
        <f>COUNTIFS(   D4:D1440,"Antioxidantes y Señalización por Especies de Oxígeno y Nitrógeno Reactivo en Plantas",I4:I1440,"No")</f>
        <v>0</v>
      </c>
      <c r="AO43" s="5">
        <f>SUMIFS( E4:E1440, D4:D1440,"Antioxidantes y Señalización por Especies de Oxígeno y Nitrógeno Reactivo en Plantas",I4:I1440,"Sí")</f>
        <v>53</v>
      </c>
      <c r="AP43" s="5">
        <f>SUMIFS( E4:E1440, D4:D1440,"Antioxidantes y Señalización por Especies de Oxígeno y Nitrógeno Reactivo en Plantas",I4:I1440,"No")</f>
        <v>0</v>
      </c>
      <c r="AQ43" s="5">
        <f>COUNTIFS(   D4:D1440,"Antioxidantes y Señalización por Especies de Oxígeno y Nitrógeno Reactivo en Plantas",J4:J1440,"Sí")</f>
        <v>3</v>
      </c>
      <c r="AR43" s="5">
        <f>COUNTIFS(   D4:D1440,"Antioxidantes y Señalización por Especies de Oxígeno y Nitrógeno Reactivo en Plantas",K4:K1440,"Sí")</f>
        <v>0</v>
      </c>
      <c r="AS43" s="5">
        <f>COUNTIFS(   D4:D1440,"Antioxidantes y Señalización por Especies de Oxígeno y Nitrógeno Reactivo en Plantas",L4:L1440,"Sí")</f>
        <v>0</v>
      </c>
      <c r="AT43" s="5">
        <f>SUMIFS( E4:E1440, D4:D1440,"Antioxidantes y Señalización por Especies de Oxígeno y Nitrógeno Reactivo en Plantas")</f>
        <v>53</v>
      </c>
      <c r="AU43" s="5">
        <f>SUMIFS( E4:E1440, F4:F1440,"Hombre", D4:D1440,"Antioxidantes y Señalización por Especies de Oxígeno y Nitrógeno Reactivo en Plantas")</f>
        <v>34</v>
      </c>
      <c r="AV43" s="5">
        <f>SUMIFS( E4:E1440, F4:F1440,"Mujer", D4:D1440,"Antioxidantes y Señalización por Especies de Oxígeno y Nitrógeno Reactivo en Plantas")</f>
        <v>19</v>
      </c>
      <c r="AW43" s="19">
        <f>SUMIFS( E4:E1440, A4:A1440,"2018", D4:D1440,"Antioxidantes y Señalización por Especies de Oxígeno y Nitrógeno Reactivo en Plantas")</f>
        <v>0</v>
      </c>
      <c r="AX43" s="5">
        <f>SUMIFS( E4:E1440, A4:A1440,"2019", D4:D1440,"Antioxidantes y Señalización por Especies de Oxígeno y Nitrógeno Reactivo en Plantas")</f>
        <v>17</v>
      </c>
      <c r="AY43" s="5">
        <f>SUMIFS( E4:E1440, A4:A1440,"2020", D4:D1440,"Antioxidantes y Señalización por Especies de Oxígeno y Nitrógeno Reactivo en Plantas")</f>
        <v>0</v>
      </c>
      <c r="AZ43" s="5">
        <f>SUMIFS( E4:E1440, A4:A1440,"2021", D4:D1440,"Antioxidantes y Señalización por Especies de Oxígeno y Nitrógeno Reactivo en Plantas")</f>
        <v>36</v>
      </c>
      <c r="BA43" s="5">
        <f>SUMIFS( E4:E1440, A4:A1440,"2022", D4:D1440,"Antioxidantes y Señalización por Especies de Oxígeno y Nitrógeno Reactivo en Plantas")</f>
        <v>0</v>
      </c>
      <c r="BB43" s="19">
        <f>SUMIFS( E4:E1440, N4:N1440,"2018", D4:D1440,"Antioxidantes y Señalización por Especies de Oxígeno y Nitrógeno Reactivo en Plantas")</f>
        <v>0</v>
      </c>
      <c r="BC43" s="5">
        <f>SUMIFS( E4:E1440, N4:N1440,"2019", D4:D1440,"Antioxidantes y Señalización por Especies de Oxígeno y Nitrógeno Reactivo en Plantas")</f>
        <v>0</v>
      </c>
      <c r="BD43" s="5">
        <f>SUMIFS( E4:E1440, N4:N1440,"2020", D4:D1440,"Antioxidantes y Señalización por Especies de Oxígeno y Nitrógeno Reactivo en Plantas")</f>
        <v>17</v>
      </c>
      <c r="BE43" s="5">
        <f>SUMIFS( E4:E1440, N4:N1440,"2021", D4:D1440,"Antioxidantes y Señalización por Especies de Oxígeno y Nitrógeno Reactivo en Plantas")</f>
        <v>36</v>
      </c>
      <c r="BF43" s="5">
        <f>SUMIFS( E4:E1440, N4:N1440,"2022", D4:D1440,"Antioxidantes y Señalización por Especies de Oxígeno y Nitrógeno Reactivo en Plantas")</f>
        <v>0</v>
      </c>
      <c r="BG43" s="14">
        <f>AVERAGEIFS( E4:E1440, D4:D1440,"Antioxidantes y Señalización por Especies de Oxígeno y Nitrógeno Reactivo en Plantas")</f>
        <v>17.666666666666668</v>
      </c>
      <c r="BH43" s="14">
        <v>0</v>
      </c>
      <c r="BI43" s="14">
        <v>0</v>
      </c>
      <c r="BJ43" s="14">
        <v>0</v>
      </c>
      <c r="BK43" s="14">
        <f>AVERAGEIFS( E4:E1440, A4:A1440,"2021", D4:D1440,"Antioxidantes y Señalización por Especies de Oxígeno y Nitrógeno Reactivo en Plantas")</f>
        <v>18</v>
      </c>
      <c r="BL43" s="37">
        <v>0</v>
      </c>
      <c r="BM43" s="14">
        <v>11</v>
      </c>
      <c r="BN43" s="14">
        <v>0</v>
      </c>
      <c r="BO43" s="14">
        <v>0</v>
      </c>
      <c r="BP43" s="14">
        <v>0</v>
      </c>
      <c r="BQ43" s="14">
        <v>11</v>
      </c>
      <c r="BR43" s="14">
        <v>0</v>
      </c>
    </row>
    <row r="44" spans="1:70" ht="15" customHeight="1">
      <c r="A44" s="24">
        <v>2018</v>
      </c>
      <c r="B44" s="24" t="s">
        <v>136</v>
      </c>
      <c r="C44" s="24" t="s">
        <v>137</v>
      </c>
      <c r="D44" s="24" t="s">
        <v>140</v>
      </c>
      <c r="E44" s="28">
        <v>1</v>
      </c>
      <c r="F44" s="24" t="s">
        <v>207</v>
      </c>
      <c r="G44" s="24" t="s">
        <v>225</v>
      </c>
      <c r="H44" s="23" t="s">
        <v>226</v>
      </c>
      <c r="I44" s="24" t="s">
        <v>225</v>
      </c>
      <c r="J44" s="23" t="s">
        <v>226</v>
      </c>
      <c r="K44" s="24" t="s">
        <v>226</v>
      </c>
      <c r="L44" s="23"/>
      <c r="M44" s="26" t="s">
        <v>262</v>
      </c>
      <c r="N44" s="24">
        <v>2018</v>
      </c>
      <c r="O44" s="67" t="s">
        <v>51</v>
      </c>
      <c r="P44" s="68"/>
      <c r="Q44" s="68"/>
      <c r="R44" s="68"/>
      <c r="S44" s="68"/>
      <c r="T44" s="69"/>
      <c r="U44" s="5">
        <f>COUNTIFS(   D4:D1440,"Biología, Conservación y Gestión de la Fauna")</f>
        <v>9</v>
      </c>
      <c r="V44" s="5">
        <f>COUNTIFS(   D4:D1440,"Biología, Conservación y Gestión de la Fauna",F4:F1440,"Hombre")</f>
        <v>6</v>
      </c>
      <c r="W44" s="5">
        <f>COUNTIFS(   D4:D1440,"Biología, Conservación y Gestión de la Fauna",F4:F1440,"Mujer")</f>
        <v>3</v>
      </c>
      <c r="X44" s="19">
        <f>COUNTIFS(   A4:A1440,"2018", D4:D1440,"Biología, Conservación y Gestión de la Fauna")</f>
        <v>3</v>
      </c>
      <c r="Y44" s="5">
        <f>COUNTIFS(   A4:A1440,"2019", D4:D1440,"Biología, Conservación y Gestión de la Fauna")</f>
        <v>1</v>
      </c>
      <c r="Z44" s="5">
        <f>COUNTIFS(   A4:A1440,"2020", D4:D1440,"Biología, Conservación y Gestión de la Fauna")</f>
        <v>3</v>
      </c>
      <c r="AA44" s="5">
        <f>COUNTIFS(   A4:A1440,"2021", D4:D1440,"Biología, Conservación y Gestión de la Fauna")</f>
        <v>2</v>
      </c>
      <c r="AB44" s="5">
        <f>COUNTIFS(  A4:A1440,"2022", D4:D1440,"Biología, Conservación y Gestión de la Fauna")</f>
        <v>0</v>
      </c>
      <c r="AC44" s="19">
        <f>COUNTIFS(   N4:N1440,"2018", D4:D1440,"Biología, Conservación y Gestión de la Fauna")</f>
        <v>2</v>
      </c>
      <c r="AD44" s="5">
        <f>COUNTIFS(   N4:N1440,"2019", D4:D1440,"Biología, Conservación y Gestión de la Fauna")</f>
        <v>1</v>
      </c>
      <c r="AE44" s="5">
        <f>COUNTIFS(   N4:N1440,"2020", D4:D1440,"Biología, Conservación y Gestión de la Fauna")</f>
        <v>3</v>
      </c>
      <c r="AF44" s="5">
        <f>COUNTIFS(   N4:N1440,"2021", D4:D1440,"Biología, Conservación y Gestión de la Fauna")</f>
        <v>3</v>
      </c>
      <c r="AG44" s="5">
        <f>COUNTIFS(   N4:N1440,"2022", D4:D1440,"Biología, Conservación y Gestión de la Fauna")</f>
        <v>0</v>
      </c>
      <c r="AH44" s="5">
        <f>COUNTIFS(   D4:D1440,"Biología, Conservación y Gestión de la Fauna",G4:G1440,"Sí")</f>
        <v>0</v>
      </c>
      <c r="AI44" s="5">
        <f>COUNTIFS(   D4:D1440,"Biología, Conservación y Gestión de la Fauna",G4:G1440,"No")</f>
        <v>9</v>
      </c>
      <c r="AJ44" s="5">
        <f>SUMIFS( E4:E1440, D4:D1440,"Biología, Conservación y Gestión de la Fauna",G4:G1440,"Sí")</f>
        <v>0</v>
      </c>
      <c r="AK44" s="5">
        <f>SUMIFS( E4:E1440, D4:D1440,"Biología, Conservación y Gestión de la Fauna",G4:G1440,"No")</f>
        <v>45</v>
      </c>
      <c r="AL44" s="5">
        <f>COUNTIFS(   D4:D1440,"Biología, Conservación y Gestión de la Fauna",H4:H1440,"Sí")</f>
        <v>8</v>
      </c>
      <c r="AM44" s="5">
        <f>COUNTIFS(   D4:D1440,"Biología, Conservación y Gestión de la Fauna",I4:I1440,"Sí")</f>
        <v>5</v>
      </c>
      <c r="AN44" s="5">
        <f>COUNTIFS(   D4:D1440,"Biología, Conservación y Gestión de la Fauna",I4:I1440,"No")</f>
        <v>4</v>
      </c>
      <c r="AO44" s="5">
        <f>SUMIFS( E4:E1440, D4:D1440,"Biología, Conservación y Gestión de la Fauna",I4:I1440,"Sí")</f>
        <v>22</v>
      </c>
      <c r="AP44" s="5">
        <f>SUMIFS( E4:E1440, D4:D1440,"Biología, Conservación y Gestión de la Fauna",I4:I1440,"No")</f>
        <v>23</v>
      </c>
      <c r="AQ44" s="5">
        <f>COUNTIFS(   D4:D1440,"Biología, Conservación y Gestión de la Fauna",J4:J1440,"Sí")</f>
        <v>9</v>
      </c>
      <c r="AR44" s="5">
        <f>COUNTIFS(   D4:D1440,"Biología, Conservación y Gestión de la Fauna",K4:K1440,"Sí")</f>
        <v>3</v>
      </c>
      <c r="AS44" s="5">
        <f>COUNTIFS(   D4:D1440,"Biología, Conservación y Gestión de la Fauna",L4:L1440,"Sí")</f>
        <v>0</v>
      </c>
      <c r="AT44" s="5">
        <f>SUMIFS( E4:E1440, D4:D1440,"Biología, Conservación y Gestión de la Fauna")</f>
        <v>45</v>
      </c>
      <c r="AU44" s="5">
        <f>SUMIFS( E4:E1440, F4:F1440,"Hombre", D4:D1440,"Biología, Conservación y Gestión de la Fauna")</f>
        <v>30</v>
      </c>
      <c r="AV44" s="5">
        <f>SUMIFS( E4:E1440, F4:F1440,"Mujer", D4:D1440,"Biología, Conservación y Gestión de la Fauna")</f>
        <v>15</v>
      </c>
      <c r="AW44" s="19">
        <f>SUMIFS( E4:E1440, A4:A1440,"2018", D4:D1440,"Biología, Conservación y Gestión de la Fauna")</f>
        <v>12</v>
      </c>
      <c r="AX44" s="5">
        <f>SUMIFS( E4:E1440, A4:A1440,"2019", D4:D1440,"Biología, Conservación y Gestión de la Fauna")</f>
        <v>9</v>
      </c>
      <c r="AY44" s="5">
        <f>SUMIFS( E4:E1440, A4:A1440,"2020", D4:D1440,"Biología, Conservación y Gestión de la Fauna")</f>
        <v>17</v>
      </c>
      <c r="AZ44" s="5">
        <f>SUMIFS( E4:E1440, A4:A1440,"2021", D4:D1440,"Biología, Conservación y Gestión de la Fauna")</f>
        <v>7</v>
      </c>
      <c r="BA44" s="5">
        <f>SUMIFS( E4:E1440, A4:A1440,"2022", D4:D1440,"Biología, Conservación y Gestión de la Fauna")</f>
        <v>0</v>
      </c>
      <c r="BB44" s="19">
        <f>SUMIFS( E4:E1440, N4:N1440,"2018", D4:D1440,"Biología, Conservación y Gestión de la Fauna")</f>
        <v>4</v>
      </c>
      <c r="BC44" s="5">
        <f>SUMIFS( E4:E1440, N4:N1440,"2019", D4:D1440,"Biología, Conservación y Gestión de la Fauna")</f>
        <v>8</v>
      </c>
      <c r="BD44" s="5">
        <f>SUMIFS( E4:E1440, N4:N1440,"2020", D4:D1440,"Biología, Conservación y Gestión de la Fauna")</f>
        <v>20</v>
      </c>
      <c r="BE44" s="5">
        <f>SUMIFS( E4:E1440, N4:N1440,"2021", D4:D1440,"Biología, Conservación y Gestión de la Fauna")</f>
        <v>13</v>
      </c>
      <c r="BF44" s="5">
        <f>SUMIFS( E4:E1440, N4:N1440,"2022", D4:D1440,"Biología, Conservación y Gestión de la Fauna")</f>
        <v>0</v>
      </c>
      <c r="BG44" s="14">
        <f>AVERAGEIFS( E4:E1440, D4:D1440,"Biología, Conservación y Gestión de la Fauna")</f>
        <v>5.625</v>
      </c>
      <c r="BH44" s="14">
        <v>0</v>
      </c>
      <c r="BI44" s="14">
        <v>0</v>
      </c>
      <c r="BJ44" s="14">
        <v>0</v>
      </c>
      <c r="BK44" s="14">
        <f>AVERAGEIFS( E4:E1440, A4:A1440,"2021", D4:D1440,"Biología, Conservación y Gestión de la Fauna")</f>
        <v>3.5</v>
      </c>
      <c r="BL44" s="37" t="e">
        <f>AVERAGEIFS( E4:E1440, A4:A1440,"2022", D4:D1440,"Biología, Conservación y Gestión de la Fauna")</f>
        <v>#DIV/0!</v>
      </c>
      <c r="BM44" s="14">
        <v>4.5</v>
      </c>
      <c r="BN44" s="14">
        <v>0</v>
      </c>
      <c r="BO44" s="14">
        <v>0</v>
      </c>
      <c r="BP44" s="14">
        <v>0</v>
      </c>
      <c r="BQ44" s="14">
        <v>7</v>
      </c>
      <c r="BR44" s="14">
        <v>2</v>
      </c>
    </row>
    <row r="45" spans="1:70" ht="15" customHeight="1">
      <c r="A45" s="24">
        <v>2018</v>
      </c>
      <c r="B45" s="24" t="s">
        <v>136</v>
      </c>
      <c r="C45" s="24" t="s">
        <v>176</v>
      </c>
      <c r="D45" s="24" t="s">
        <v>183</v>
      </c>
      <c r="E45" s="23"/>
      <c r="F45" s="24" t="s">
        <v>207</v>
      </c>
      <c r="G45" s="24" t="s">
        <v>225</v>
      </c>
      <c r="H45" s="23" t="s">
        <v>226</v>
      </c>
      <c r="I45" s="24" t="s">
        <v>225</v>
      </c>
      <c r="J45" s="23" t="s">
        <v>226</v>
      </c>
      <c r="K45" s="24" t="s">
        <v>226</v>
      </c>
      <c r="L45" s="23"/>
      <c r="M45" s="26" t="s">
        <v>262</v>
      </c>
      <c r="N45" s="24">
        <v>2018</v>
      </c>
      <c r="O45" s="67" t="s">
        <v>52</v>
      </c>
      <c r="P45" s="68"/>
      <c r="Q45" s="68"/>
      <c r="R45" s="68"/>
      <c r="S45" s="68"/>
      <c r="T45" s="69"/>
      <c r="U45" s="5">
        <f>COUNTIFS( D4:D1440,"Biología, Conservación y Gestión de la Flora")</f>
        <v>6</v>
      </c>
      <c r="V45" s="5">
        <f>COUNTIFS( D4:D1440,"Biología, Conservación y Gestión de la Flora",F4:F1440,"Hombre")</f>
        <v>2</v>
      </c>
      <c r="W45" s="5">
        <f>COUNTIFS( D4:D1440,"Biología, Conservación y Gestión de la Flora",F4:F1440,"Mujer")</f>
        <v>4</v>
      </c>
      <c r="X45" s="19">
        <f>COUNTIFS(   A4:A1440,"2018", D4:D1440,"Biología, Conservación y Gestión de la Flora")</f>
        <v>1</v>
      </c>
      <c r="Y45" s="5">
        <f>COUNTIFS(   A4:A1440,"2019", D4:D1440,"Biología, Conservación y Gestión de la Flora")</f>
        <v>3</v>
      </c>
      <c r="Z45" s="5">
        <f>COUNTIFS(   A4:A1440,"2020", D4:D1440,"Biología, Conservación y Gestión de la Flora")</f>
        <v>1</v>
      </c>
      <c r="AA45" s="5">
        <f>COUNTIFS(   A4:A1440,"2021", D4:D1440,"Biología, Conservación y Gestión de la Flora")</f>
        <v>1</v>
      </c>
      <c r="AB45" s="5">
        <f>COUNTIFS(  A4:A1440,"2022", D4:D1440,"Biología, Conservación y Gestión de la Flora")</f>
        <v>0</v>
      </c>
      <c r="AC45" s="19">
        <f>COUNTIFS(   N4:N1440,"2018", D4:D1440,"Biología, Conservación y Gestión de la Flora")</f>
        <v>0</v>
      </c>
      <c r="AD45" s="5">
        <f>COUNTIFS(   N4:N1440,"2019", D4:D1440,"Biología, Conservación y Gestión de la Flora")</f>
        <v>3</v>
      </c>
      <c r="AE45" s="5">
        <f>COUNTIFS(   N4:N1440,"2020", D4:D1440,"Biología, Conservación y Gestión de la Flora")</f>
        <v>1</v>
      </c>
      <c r="AF45" s="5">
        <f>COUNTIFS(   N4:N1440,"2021", D4:D1440,"Biología, Conservación y Gestión de la Flora")</f>
        <v>2</v>
      </c>
      <c r="AG45" s="5">
        <f>COUNTIFS(   N4:N1440,"2022", D4:D1440,"Biología, Conservación y Gestión de la Flora")</f>
        <v>0</v>
      </c>
      <c r="AH45" s="5">
        <f>COUNTIFS( D4:D1440,"Biología, Conservación y Gestión de la Flora",G4:G1440,"Sí")</f>
        <v>0</v>
      </c>
      <c r="AI45" s="5">
        <f>COUNTIFS( D4:D1440,"Biología, Conservación y Gestión de la Flora",G4:G1440,"No")</f>
        <v>6</v>
      </c>
      <c r="AJ45" s="5">
        <f>SUMIFS( E4:E1440, D4:D1440,"Biología, Conservación y Gestión de la Flora",G4:G1440,"Sí")</f>
        <v>0</v>
      </c>
      <c r="AK45" s="5">
        <f>SUMIFS( E4:E1440, D4:D1440,"Biología, Conservación y Gestión de la Flora",G4:G1440,"No")</f>
        <v>18</v>
      </c>
      <c r="AL45" s="5">
        <f>COUNTIFS( D4:D1440,"Biología, Conservación y Gestión de la Flora",H4:H1440,"Sí")</f>
        <v>4</v>
      </c>
      <c r="AM45" s="5">
        <f>COUNTIFS( D4:D1440,"Biología, Conservación y Gestión de la Flora",I4:I1440,"Sí")</f>
        <v>4</v>
      </c>
      <c r="AN45" s="5">
        <f>COUNTIFS( D4:D1440,"Biología, Conservación y Gestión de la Flora",I4:I1440,"No")</f>
        <v>2</v>
      </c>
      <c r="AO45" s="5">
        <f>SUMIFS( E4:E1440, D4:D1440,"Biología, Conservación y Gestión de la Flora",I4:I1440,"Sí")</f>
        <v>11</v>
      </c>
      <c r="AP45" s="5">
        <f>SUMIFS( E4:E1440, D4:D1440,"Biología, Conservación y Gestión de la Flora",I4:I1440,"No")</f>
        <v>7</v>
      </c>
      <c r="AQ45" s="5">
        <f>COUNTIFS( D4:D1440,"Biología, Conservación y Gestión de la Flora",J4:J1440,"Sí")</f>
        <v>6</v>
      </c>
      <c r="AR45" s="5">
        <f>COUNTIFS( D4:D1440,"Biología, Conservación y Gestión de la Flora",K4:K1440,"Sí")</f>
        <v>3</v>
      </c>
      <c r="AS45" s="5">
        <f>COUNTIFS( D4:D1440,"Biología, Conservación y Gestión de la Flora",L4:L1440,"Sí")</f>
        <v>0</v>
      </c>
      <c r="AT45" s="5">
        <f>SUMIFS( E4:E1440, D4:D1440,"Biología, Conservación y Gestión de la Flora")</f>
        <v>18</v>
      </c>
      <c r="AU45" s="5">
        <f>SUMIFS( E4:E1440, F4:F1440,"Hombre", D4:D1440,"Biología, Conservación y Gestión de la Flora")</f>
        <v>8</v>
      </c>
      <c r="AV45" s="5">
        <f>SUMIFS( E4:E1440, F4:F1440,"Mujer", D4:D1440,"Biología, Conservación y Gestión de la Flora")</f>
        <v>10</v>
      </c>
      <c r="AW45" s="19">
        <f>SUMIFS( E4:E1440, A4:A1440,"2018", D4:D1440,"Biología, Conservación y Gestión de la Flora")</f>
        <v>0</v>
      </c>
      <c r="AX45" s="5">
        <f>SUMIFS( E4:E1440, A4:A1440,"2019", D4:D1440,"Biología, Conservación y Gestión de la Flora")</f>
        <v>10</v>
      </c>
      <c r="AY45" s="5">
        <f>SUMIFS( E4:E1440, A4:A1440,"2020", D4:D1440,"Biología, Conservación y Gestión de la Flora")</f>
        <v>7</v>
      </c>
      <c r="AZ45" s="5">
        <f>SUMIFS( E4:E1440, A4:A1440,"2021", D4:D1440,"Biología, Conservación y Gestión de la Flora")</f>
        <v>1</v>
      </c>
      <c r="BA45" s="5">
        <f>SUMIFS( E4:E1440, A4:A1440,"2022", D4:D1440,"Biología, Conservación y Gestión de la Flora")</f>
        <v>0</v>
      </c>
      <c r="BB45" s="19">
        <f>SUMIFS( E4:E1440, N4:N1440,"2018", D4:D1440,"Biología, Conservación y Gestión de la Flora")</f>
        <v>0</v>
      </c>
      <c r="BC45" s="5">
        <f>SUMIFS( E4:E1440, N4:N1440,"2019", D4:D1440,"Biología, Conservación y Gestión de la Flora")</f>
        <v>6</v>
      </c>
      <c r="BD45" s="5">
        <f>SUMIFS( E4:E1440, N4:N1440,"2020", D4:D1440,"Biología, Conservación y Gestión de la Flora")</f>
        <v>4</v>
      </c>
      <c r="BE45" s="5">
        <f>SUMIFS( E4:E1440, N4:N1440,"2021", D4:D1440,"Biología, Conservación y Gestión de la Flora")</f>
        <v>8</v>
      </c>
      <c r="BF45" s="5">
        <f>SUMIFS( E4:E1440, N4:N1440,"2022", D4:D1440,"Biología, Conservación y Gestión de la Flora")</f>
        <v>0</v>
      </c>
      <c r="BG45" s="14">
        <f>AVERAGEIFS( E5:E1440, D5:D1440,"Biología, Conservación y Gestión de la Flora")</f>
        <v>3.6</v>
      </c>
      <c r="BH45" s="14">
        <v>0</v>
      </c>
      <c r="BI45" s="14">
        <v>0</v>
      </c>
      <c r="BJ45" s="14">
        <v>0</v>
      </c>
      <c r="BK45" s="14">
        <v>0</v>
      </c>
      <c r="BL45" s="37" t="e">
        <f>AVERAGEIFS( E4:E1440, A4:A1440,"2022", D4:D1440,"Biología, Conservación y Gestión de la Flora")</f>
        <v>#DIV/0!</v>
      </c>
      <c r="BM45" s="14">
        <v>10</v>
      </c>
      <c r="BN45" s="14">
        <v>0</v>
      </c>
      <c r="BO45" s="14">
        <v>0</v>
      </c>
      <c r="BP45" s="14">
        <v>0</v>
      </c>
      <c r="BQ45" s="14">
        <v>0</v>
      </c>
      <c r="BR45" s="14">
        <v>10</v>
      </c>
    </row>
    <row r="46" spans="1:70" ht="15" customHeight="1">
      <c r="A46" s="24">
        <v>2018</v>
      </c>
      <c r="B46" s="24" t="s">
        <v>78</v>
      </c>
      <c r="C46" s="24" t="s">
        <v>95</v>
      </c>
      <c r="D46" s="24" t="s">
        <v>99</v>
      </c>
      <c r="E46" s="23">
        <v>8</v>
      </c>
      <c r="F46" s="24" t="s">
        <v>211</v>
      </c>
      <c r="G46" s="24" t="s">
        <v>225</v>
      </c>
      <c r="H46" s="23" t="s">
        <v>226</v>
      </c>
      <c r="I46" s="24" t="s">
        <v>226</v>
      </c>
      <c r="J46" s="23" t="s">
        <v>226</v>
      </c>
      <c r="K46" s="24" t="s">
        <v>226</v>
      </c>
      <c r="L46" s="23"/>
      <c r="M46" s="26" t="s">
        <v>262</v>
      </c>
      <c r="N46" s="24">
        <v>2018</v>
      </c>
      <c r="O46" s="67" t="s">
        <v>53</v>
      </c>
      <c r="P46" s="68"/>
      <c r="Q46" s="68"/>
      <c r="R46" s="68"/>
      <c r="S46" s="68"/>
      <c r="T46" s="69"/>
      <c r="U46" s="5">
        <f>COUNTIFS(   D4:D1440,"Bioquímica, Inmunología y Parasitología Molecular")</f>
        <v>5</v>
      </c>
      <c r="V46" s="5">
        <f>COUNTIFS(   D4:D1440,"Bioquímica, Inmunología y Parasitología Molecular",F4:F1440,"Hombre")</f>
        <v>1</v>
      </c>
      <c r="W46" s="5">
        <f>COUNTIFS(   D4:D1440,"Bioquímica, Inmunología y Parasitología Molecular",F4:F1440,"Mujer")</f>
        <v>4</v>
      </c>
      <c r="X46" s="19">
        <f>COUNTIFS(   A4:A1440,"2018", D4:D1440,"Bioquímica, Inmunología y Parasitología Molecular")</f>
        <v>1</v>
      </c>
      <c r="Y46" s="5">
        <f>COUNTIFS(   A4:A1440,"2019", D4:D1440,"Bioquímica, Inmunología y Parasitología Molecular")</f>
        <v>1</v>
      </c>
      <c r="Z46" s="5">
        <f>COUNTIFS(   A4:A1440,"2020", D4:D1440,"Bioquímica, Inmunología y Parasitología Molecular")</f>
        <v>2</v>
      </c>
      <c r="AA46" s="5">
        <f>COUNTIFS(   A4:A1440,"2021", D4:D1440,"Bioquímica, Inmunología y Parasitología Molecular")</f>
        <v>1</v>
      </c>
      <c r="AB46" s="5">
        <f>COUNTIFS(  A4:A1440,"2022", D4:D1440,"Bioquímica, Inmunología y Parasitología Molecular")</f>
        <v>0</v>
      </c>
      <c r="AC46" s="19">
        <f>COUNTIFS(   N4:N1440,"2018", D4:D1440,"Bioquímica, Inmunología y Parasitología Molecular")</f>
        <v>0</v>
      </c>
      <c r="AD46" s="5">
        <f>COUNTIFS(   N4:N1440,"2019", D4:D1440,"Bioquímica, Inmunología y Parasitología Molecular")</f>
        <v>1</v>
      </c>
      <c r="AE46" s="5">
        <f>COUNTIFS(   N4:N1440,"2020", D4:D1440,"Bioquímica, Inmunología y Parasitología Molecular")</f>
        <v>1</v>
      </c>
      <c r="AF46" s="5">
        <f>COUNTIFS(   N4:N1440,"2021", D4:D1440,"Bioquímica, Inmunología y Parasitología Molecular")</f>
        <v>2</v>
      </c>
      <c r="AG46" s="5">
        <f>COUNTIFS(   N4:N1440,"2022", D4:D1440,"Bioquímica, Inmunología y Parasitología Molecular")</f>
        <v>1</v>
      </c>
      <c r="AH46" s="5">
        <f>COUNTIFS(   D4:D1440,"Bioquímica, Inmunología y Parasitología Molecular",G4:G1440,"Sí")</f>
        <v>1</v>
      </c>
      <c r="AI46" s="5">
        <f>COUNTIFS(   D4:D1440,"Bioquímica, Inmunología y Parasitología Molecular",G4:G1440,"No")</f>
        <v>4</v>
      </c>
      <c r="AJ46" s="5">
        <f>SUMIFS( E4:E1440, D4:D1440,"Bioquímica, Inmunología y Parasitología Molecular",G4:G1440,"Sí")</f>
        <v>0</v>
      </c>
      <c r="AK46" s="5">
        <f>SUMIFS( E4:E1440, D4:D1440,"Bioquímica, Inmunología y Parasitología Molecular",G4:G1440,"No")</f>
        <v>18</v>
      </c>
      <c r="AL46" s="5">
        <f>COUNTIFS(   D4:D1440,"Bioquímica, Inmunología y Parasitología Molecular",H4:H1440,"Sí")</f>
        <v>4</v>
      </c>
      <c r="AM46" s="5">
        <f>COUNTIFS(   D4:D1440,"Bioquímica, Inmunología y Parasitología Molecular",I4:I1440,"Sí")</f>
        <v>0</v>
      </c>
      <c r="AN46" s="5">
        <f>COUNTIFS(   D4:D1440,"Bioquímica, Inmunología y Parasitología Molecular",I4:I1440,"No")</f>
        <v>5</v>
      </c>
      <c r="AO46" s="5">
        <f>SUMIFS( E4:E1440, D4:D1440,"Bioquímica, Inmunología y Parasitología Molecular",I4:I1440,"Sí")</f>
        <v>0</v>
      </c>
      <c r="AP46" s="5">
        <f>SUMIFS( E4:E1440, D4:D1440,"Bioquímica, Inmunología y Parasitología Molecular",I4:I1440,"No")</f>
        <v>18</v>
      </c>
      <c r="AQ46" s="5">
        <f>COUNTIFS(   D4:D1440,"Bioquímica, Inmunología y Parasitología Molecular",J4:J1440,"Sí")</f>
        <v>5</v>
      </c>
      <c r="AR46" s="5">
        <f>COUNTIFS(   D4:D1440,"Bioquímica, Inmunología y Parasitología Molecular",K4:K1440,"Sí")</f>
        <v>1</v>
      </c>
      <c r="AS46" s="5">
        <f>COUNTIFS(   D4:D1440,"Bioquímica, Inmunología y Parasitología Molecular",L4:L1440,"Sí")</f>
        <v>0</v>
      </c>
      <c r="AT46" s="5">
        <f>SUMIFS( E4:E1440, D4:D1440,"Bioquímica, Inmunología y Parasitología Molecular")</f>
        <v>18</v>
      </c>
      <c r="AU46" s="5">
        <f>SUMIFS( E4:E1440, F4:F1440,"Hombre", D4:D1440,"Bioquímica, Inmunología y Parasitología Molecular")</f>
        <v>3</v>
      </c>
      <c r="AV46" s="5">
        <f>SUMIFS( E4:E1440, F4:F1440,"Mujer", D4:D1440,"Bioquímica, Inmunología y Parasitología Molecular")</f>
        <v>15</v>
      </c>
      <c r="AW46" s="19">
        <f>SUMIFS( E4:E1440, A4:A1440,"2018", D4:D1440,"Bioquímica, Inmunología y Parasitología Molecular")</f>
        <v>9</v>
      </c>
      <c r="AX46" s="5">
        <f>SUMIFS( E4:E1440, A4:A1440,"2019", D4:D1440,"Bioquímica, Inmunología y Parasitología Molecular")</f>
        <v>2</v>
      </c>
      <c r="AY46" s="5">
        <f>SUMIFS( E4:E1440, A4:A1440,"2020", D4:D1440,"Bioquímica, Inmunología y Parasitología Molecular")</f>
        <v>7</v>
      </c>
      <c r="AZ46" s="5">
        <f>SUMIFS( E4:E1440, A4:A1440,"2021", D4:D1440,"Bioquímica, Inmunología y Parasitología Molecular")</f>
        <v>0</v>
      </c>
      <c r="BA46" s="5">
        <f>SUMIFS( E4:E1440, A4:A1440,"2022", D4:D1440,"Bioquímica, Inmunología y Parasitología Molecular")</f>
        <v>0</v>
      </c>
      <c r="BB46" s="19">
        <f>SUMIFS( E4:E1440, N4:N1440,"2018", D4:D1440,"Bioquímica, Inmunología y Parasitología Molecular")</f>
        <v>0</v>
      </c>
      <c r="BC46" s="5">
        <f>SUMIFS( E4:E1440, N4:N1440,"2019", D4:D1440,"Bioquímica, Inmunología y Parasitología Molecular")</f>
        <v>9</v>
      </c>
      <c r="BD46" s="5">
        <f>SUMIFS( E4:E1440, N4:N1440,"2020", D4:D1440,"Bioquímica, Inmunología y Parasitología Molecular")</f>
        <v>2</v>
      </c>
      <c r="BE46" s="5">
        <f>SUMIFS( E4:E1440, N4:N1440,"2021", D4:D1440,"Bioquímica, Inmunología y Parasitología Molecular")</f>
        <v>7</v>
      </c>
      <c r="BF46" s="5">
        <f>SUMIFS( E4:E1440, N4:N1440,"2022", D4:D1440,"Bioquímica, Inmunología y Parasitología Molecular")</f>
        <v>0</v>
      </c>
      <c r="BG46" s="14">
        <f>AVERAGEIFS( E4:E1440, D4:D1440,"Bioquímica, Inmunología y Parasitología Molecular")</f>
        <v>4.5</v>
      </c>
      <c r="BH46" s="14">
        <v>0</v>
      </c>
      <c r="BI46" s="14">
        <v>0</v>
      </c>
      <c r="BJ46" s="14">
        <v>0</v>
      </c>
      <c r="BK46" s="14">
        <v>0</v>
      </c>
      <c r="BL46" s="37" t="e">
        <f>AVERAGEIFS( E4:E1440, A4:A1440,"2022", D4:D1440,"Bioquímica, Inmunología y Parasitología Molecular")</f>
        <v>#DIV/0!</v>
      </c>
      <c r="BM46" s="14">
        <v>1</v>
      </c>
      <c r="BN46" s="14">
        <v>0</v>
      </c>
      <c r="BO46" s="14">
        <v>0</v>
      </c>
      <c r="BP46" s="14">
        <v>0</v>
      </c>
      <c r="BQ46" s="14">
        <v>0</v>
      </c>
      <c r="BR46" s="14">
        <v>1</v>
      </c>
    </row>
    <row r="47" spans="1:70" ht="15" customHeight="1">
      <c r="A47" s="24">
        <v>2018</v>
      </c>
      <c r="B47" s="24" t="s">
        <v>136</v>
      </c>
      <c r="C47" s="24" t="s">
        <v>137</v>
      </c>
      <c r="D47" s="24" t="s">
        <v>142</v>
      </c>
      <c r="E47" s="23">
        <v>14</v>
      </c>
      <c r="F47" s="24" t="s">
        <v>211</v>
      </c>
      <c r="G47" s="24" t="s">
        <v>225</v>
      </c>
      <c r="H47" s="23" t="s">
        <v>226</v>
      </c>
      <c r="I47" s="24" t="s">
        <v>225</v>
      </c>
      <c r="J47" s="23" t="s">
        <v>226</v>
      </c>
      <c r="K47" s="24" t="s">
        <v>226</v>
      </c>
      <c r="L47" s="23"/>
      <c r="M47" s="26" t="s">
        <v>263</v>
      </c>
      <c r="N47" s="24">
        <v>2018</v>
      </c>
      <c r="O47" s="51" t="s">
        <v>342</v>
      </c>
      <c r="P47" s="52"/>
      <c r="Q47" s="52"/>
      <c r="R47" s="52"/>
      <c r="S47" s="52"/>
      <c r="T47" s="53"/>
      <c r="U47" s="5">
        <f>COUNTIFS(   D5:D1441,"Biología, Ecología Molecular y Biotecnología de las Interacciones Planta-Hongos Rizosféricos")</f>
        <v>4</v>
      </c>
      <c r="V47" s="5">
        <f>COUNTIFS(   D5:D1441,"Biología, Ecología Molecular y Biotecnología de las Interacciones Planta-Hongos Rizosféricos",F5:F1441,"Hombre")</f>
        <v>2</v>
      </c>
      <c r="W47" s="5">
        <f>COUNTIFS(   D5:D1441,"Biología, Ecología Molecular y Biotecnología de las Interacciones Planta-Hongos Rizosféricos",F5:F1441,"Mujer")</f>
        <v>2</v>
      </c>
      <c r="X47" s="19">
        <f>COUNTIFS(   A4:A1441,"2018", D4:D1441,"Biología, Ecología Molecular y Biotecnología de las Interacciones Planta-Hongos Rizosféricos")</f>
        <v>2</v>
      </c>
      <c r="Y47" s="5">
        <f>COUNTIFS(   A5:A1441,"2019", D5:D1441,"Biología, Ecología Molecular y Biotecnología de las Interacciones Planta-Hongos Rizosféricos")</f>
        <v>2</v>
      </c>
      <c r="Z47" s="5">
        <f>COUNTIFS(   A5:A1441,"2020", D5:D1441,"Biología, Ecología Molecular y Biotecnología de las Interacciones Planta-Hongos Rizosféricos")</f>
        <v>0</v>
      </c>
      <c r="AA47" s="5">
        <f>COUNTIFS(   A5:A1441,"2021", D5:D1441,"Biología, Ecología Molecular y Biotecnología de las Interacciones Planta-Hongos Rizosféricos")</f>
        <v>0</v>
      </c>
      <c r="AB47" s="5">
        <f>COUNTIFS(  A5:A1441,"2022", D5:D1441,"Biología, Ecología Molecular y Biotecnología de las Interacciones Planta-Hongos Rizosféricos")</f>
        <v>0</v>
      </c>
      <c r="AC47" s="19">
        <f>COUNTIFS(   N5:N1441,"2018", D5:D1441,"Biología, Ecología Molecular y Biotecnología de las Interacciones Planta-Hongos Rizosféricos")</f>
        <v>0</v>
      </c>
      <c r="AD47" s="5">
        <f>COUNTIFS(   N5:N1441,"2019", D5:D1441,"Biología, Ecología Molecular y Biotecnología de las Interacciones Planta-Hongos Rizosféricos")</f>
        <v>2</v>
      </c>
      <c r="AE47" s="5">
        <f>COUNTIFS(   N5:N1441,"2020", D5:D1441,"Biología, Ecología Molecular y Biotecnología de las Interacciones Planta-Hongos Rizosféricos")</f>
        <v>2</v>
      </c>
      <c r="AF47" s="5">
        <f>COUNTIFS(   N5:N1441,"2021", D5:D1441,"Biología, Ecología Molecular y Biotecnología de las Interacciones Planta-Hongos Rizosféricos")</f>
        <v>0</v>
      </c>
      <c r="AG47" s="5">
        <f>COUNTIFS(   N5:N1441,"2022", D5:D1441,"Biología, Ecología Molecular y Biotecnología de las Interacciones Planta-Hongos Rizosféricos")</f>
        <v>0</v>
      </c>
      <c r="AH47" s="5">
        <f>COUNTIFS(   D5:D1441,"Biología, Ecología Molecular y Biotecnología de las Interacciones Planta-Hongos Rizosféricos",G5:G1441,"Sí")</f>
        <v>1</v>
      </c>
      <c r="AI47" s="5">
        <f>COUNTIFS(   D5:D1441,"Biología, Ecología Molecular y Biotecnología de las Interacciones Planta-Hongos Rizosféricos",G5:G1441,"No")</f>
        <v>3</v>
      </c>
      <c r="AJ47" s="5">
        <f>SUMIFS( E5:E1441, D5:D1441,"Biología, Ecología Molecular y Biotecnología de las Interacciones Planta-Hongos Rizosféricos",G5:G1441,"Sí")</f>
        <v>0</v>
      </c>
      <c r="AK47" s="5">
        <f>SUMIFS( E5:E1441, D5:D1441,"Biología, Ecología Molecular y Biotecnología de las Interacciones Planta-Hongos Rizosféricos",G5:G1441,"No")</f>
        <v>5</v>
      </c>
      <c r="AL47" s="5">
        <f>COUNTIFS(   D5:D1441,"Biología, Ecología Molecular y Biotecnología de las Interacciones Planta-Hongos Rizosféricos",H5:H1441,"Sí")</f>
        <v>2</v>
      </c>
      <c r="AM47" s="5">
        <f>COUNTIFS(   D5:D1441,"Biología, Ecología Molecular y Biotecnología de las Interacciones Planta-Hongos Rizosféricos",I5:I1441,"Sí")</f>
        <v>3</v>
      </c>
      <c r="AN47" s="5">
        <f>COUNTIFS(   D5:D1441,"Biología, Ecología Molecular y Biotecnología de las Interacciones Planta-Hongos Rizosféricos",I5:I1441,"No")</f>
        <v>1</v>
      </c>
      <c r="AO47" s="5">
        <f>SUMIFS( E5:E1441, D5:D1441,"Biología, Ecología Molecular y Biotecnología de las Interacciones Planta-Hongos Rizosféricos",I5:I1441,"Sí")</f>
        <v>5</v>
      </c>
      <c r="AP47" s="5">
        <f>SUMIFS( E5:E1441, D5:D1441,"Biología, Ecología Molecular y Biotecnología de las Interacciones Planta-Hongos Rizosféricos",I5:I1441,"No")</f>
        <v>0</v>
      </c>
      <c r="AQ47" s="5">
        <f>COUNTIFS(   D5:D1441,"Biología, Ecología Molecular y Biotecnología de las Interacciones Planta-Hongos Rizosféricos",J5:J1441,"Sí")</f>
        <v>4</v>
      </c>
      <c r="AR47" s="5">
        <f>COUNTIFS(   D5:D1441,"Biología, Ecología Molecular y Biotecnología de las Interacciones Planta-Hongos Rizosféricos",K5:K1441,"Sí")</f>
        <v>2</v>
      </c>
      <c r="AS47" s="5">
        <f>COUNTIFS(   D5:D1441,"Biología, Ecología Molecular y Biotecnología de las Interacciones Planta-Hongos Rizosféricos",L5:L1441,"Sí")</f>
        <v>0</v>
      </c>
      <c r="AT47" s="5">
        <f>SUMIFS( E5:E1441, D5:D1441,"Biología, Ecología Molecular y Biotecnología de las Interacciones Planta-Hongos Rizosféricos")</f>
        <v>5</v>
      </c>
      <c r="AU47" s="5">
        <f>SUMIFS( E5:E1441, F5:F1441,"Hombre", D5:D1441,"Biología, Ecología Molecular y Biotecnología de las Interacciones Planta-Hongos Rizosféricos")</f>
        <v>0</v>
      </c>
      <c r="AV47" s="5">
        <f>SUMIFS( E5:E1441, F5:F1441,"Mujer", D5:D1441,"Biología, Ecología Molecular y Biotecnología de las Interacciones Planta-Hongos Rizosféricos")</f>
        <v>5</v>
      </c>
      <c r="AW47" s="19">
        <f>SUMIFS( E5:E1441, A5:A1441,"2018", D5:D1441,"Biología, Ecología Molecular y Biotecnología de las Interacciones Planta-Hongos Rizosféricos")</f>
        <v>4</v>
      </c>
      <c r="AX47" s="5">
        <f>SUMIFS( E5:E1441, A5:A1441,"2019", D5:D1441,"Biología, Ecología Molecular y Biotecnología de las Interacciones Planta-Hongos Rizosféricos")</f>
        <v>1</v>
      </c>
      <c r="AY47" s="5">
        <f>SUMIFS( E5:E1441, A5:A1441,"2020", D5:D1441,"Biología, Ecología Molecular y Biotecnología de las Interacciones Planta-Hongos Rizosféricos")</f>
        <v>0</v>
      </c>
      <c r="AZ47" s="5">
        <f>SUMIFS( E5:E1441, A5:A1441,"2021", D5:D1441,"Biología, Ecología Molecular y Biotecnología de las Interacciones Planta-Hongos Rizosféricos")</f>
        <v>0</v>
      </c>
      <c r="BA47" s="5">
        <f>SUMIFS( E5:E1441, A5:A1441,"2022", D5:D1441,"Biología, Ecología Molecular y Biotecnología de las Interacciones Planta-Hongos Rizosféricos")</f>
        <v>0</v>
      </c>
      <c r="BB47" s="19">
        <f>SUMIFS( E5:E1441, N5:N1441,"2018", D5:D1441,"Biología, Ecología Molecular y Biotecnología de las Interacciones Planta-Hongos Rizosféricos")</f>
        <v>0</v>
      </c>
      <c r="BC47" s="5">
        <f>SUMIFS( E5:E1441, N5:N1441,"2019", D5:D1441,"Biología, Ecología Molecular y Biotecnología de las Interacciones Planta-Hongos Rizosféricos")</f>
        <v>4</v>
      </c>
      <c r="BD47" s="5">
        <f>SUMIFS( E5:E1441, N5:N1441,"2020", D5:D1441,"Biología, Ecología Molecular y Biotecnología de las Interacciones Planta-Hongos Rizosféricos")</f>
        <v>1</v>
      </c>
      <c r="BE47" s="5">
        <f>SUMIFS( E5:E1441, N5:N1441,"2021", D5:D1441,"Biología, Ecología Molecular y Biotecnología de las Interacciones Planta-Hongos Rizosféricos")</f>
        <v>0</v>
      </c>
      <c r="BF47" s="5">
        <f>SUMIFS( E5:E1441, N5:N1441,"2022", D5:D1441,"Biología, Ecología Molecular y Biotecnología de las Interacciones Planta-Hongos Rizosféricos")</f>
        <v>0</v>
      </c>
      <c r="BG47" s="14">
        <f>AVERAGEIFS( E4:E1441, D4:D1441,"Biología, Ecología Molecular y Biotecnología de las Interacciones Planta-Hongos Rizosféricos")</f>
        <v>2.5</v>
      </c>
      <c r="BH47" s="14"/>
      <c r="BI47" s="14"/>
      <c r="BJ47" s="14"/>
      <c r="BK47" s="14"/>
      <c r="BL47" s="37"/>
      <c r="BM47" s="14"/>
      <c r="BN47" s="14"/>
      <c r="BO47" s="14"/>
      <c r="BP47" s="14"/>
      <c r="BQ47" s="14"/>
      <c r="BR47" s="14"/>
    </row>
    <row r="48" spans="1:70" ht="15" customHeight="1">
      <c r="A48" s="24">
        <v>2018</v>
      </c>
      <c r="B48" s="24" t="s">
        <v>78</v>
      </c>
      <c r="C48" s="24" t="s">
        <v>122</v>
      </c>
      <c r="D48" s="24" t="s">
        <v>124</v>
      </c>
      <c r="E48" s="23">
        <v>30</v>
      </c>
      <c r="F48" s="24" t="s">
        <v>211</v>
      </c>
      <c r="G48" s="24" t="s">
        <v>225</v>
      </c>
      <c r="H48" s="23" t="s">
        <v>226</v>
      </c>
      <c r="I48" s="24" t="s">
        <v>226</v>
      </c>
      <c r="J48" s="23" t="s">
        <v>226</v>
      </c>
      <c r="K48" s="24" t="s">
        <v>226</v>
      </c>
      <c r="L48" s="23"/>
      <c r="M48" s="26" t="s">
        <v>263</v>
      </c>
      <c r="N48" s="24">
        <v>2018</v>
      </c>
      <c r="O48" s="51" t="s">
        <v>341</v>
      </c>
      <c r="P48" s="52"/>
      <c r="Q48" s="52"/>
      <c r="R48" s="52"/>
      <c r="S48" s="52"/>
      <c r="T48" s="53"/>
      <c r="U48" s="5">
        <f>COUNTIFS(   D6:D1442,"Biología Molecular y Biotecnología de las Interacciones Planta-Bacteria")</f>
        <v>7</v>
      </c>
      <c r="V48" s="5">
        <f>COUNTIFS(   D4:D1441,"Biología Molecular y Biotecnología de las Interacciones Planta-Bacteria",F4:F1441,"Hombre")</f>
        <v>2</v>
      </c>
      <c r="W48" s="5">
        <f>COUNTIFS(   D6:D1442,"Biología Molecular y Biotecnología de las Interacciones Planta-Bacteria",F6:F1442,"Mujer")</f>
        <v>5</v>
      </c>
      <c r="X48" s="19">
        <f>COUNTIFS(   A6:A1442,"2018", D6:D1442,"Biología Molecular y Biotecnología de las Interacciones Planta-Bacteria")</f>
        <v>3</v>
      </c>
      <c r="Y48" s="5">
        <f>COUNTIFS(   A6:A1442,"2019", D6:D1442,"Biología Molecular y Biotecnología de las Interacciones Planta-Bacteria")</f>
        <v>3</v>
      </c>
      <c r="Z48" s="5">
        <f>COUNTIFS(   A6:A1442,"2020", D6:D1442,"Biología Molecular y Biotecnología de las Interacciones Planta-Bacteria")</f>
        <v>1</v>
      </c>
      <c r="AA48" s="5">
        <f>COUNTIFS(   A6:A1442,"2021", D6:D1442,"Biología Molecular y Biotecnología de las Interacciones Planta-Bacteria")</f>
        <v>0</v>
      </c>
      <c r="AB48" s="5">
        <f>COUNTIFS(  A6:A1442,"2022", D6:D1442,"Biología Molecular y Biotecnología de las Interacciones Planta-Bacteria")</f>
        <v>0</v>
      </c>
      <c r="AC48" s="19">
        <f>COUNTIFS(   N6:N1442,"2018", D6:D1442,"Biología Molecular y Biotecnología de las Interacciones Planta-Bacteria")</f>
        <v>0</v>
      </c>
      <c r="AD48" s="5">
        <f>COUNTIFS(   N6:N1442,"2019", D6:D1442,"Biología Molecular y Biotecnología de las Interacciones Planta-Bacteria")</f>
        <v>4</v>
      </c>
      <c r="AE48" s="5">
        <f>COUNTIFS(   N6:N1442,"2020", D6:D1442,"Biología Molecular y Biotecnología de las Interacciones Planta-Bacteria")</f>
        <v>2</v>
      </c>
      <c r="AF48" s="5">
        <f>COUNTIFS(   N6:N1442,"2021", D6:D1442,"Biología Molecular y Biotecnología de las Interacciones Planta-Bacteria")</f>
        <v>1</v>
      </c>
      <c r="AG48" s="5">
        <f>COUNTIFS(   N6:N1442,"2022", D6:D1442,"Biología Molecular y Biotecnología de las Interacciones Planta-Bacteria")</f>
        <v>0</v>
      </c>
      <c r="AH48" s="5">
        <f>COUNTIFS(   D6:D1442,"Biología Molecular y Biotecnología de las Interacciones Planta-Bacteria",G6:G1442,"Sí")</f>
        <v>1</v>
      </c>
      <c r="AI48" s="5">
        <f>COUNTIFS(   D6:D1442,"Biología Molecular y Biotecnología de las Interacciones Planta-Bacteria",G6:G1442,"No")</f>
        <v>6</v>
      </c>
      <c r="AJ48" s="5">
        <f>SUMIFS( E6:E1442, D6:D1442,"Biología Molecular y Biotecnología de las Interacciones Planta-Bacteria",G6:G1442,"Sí")</f>
        <v>4</v>
      </c>
      <c r="AK48" s="5">
        <f>SUMIFS( E6:E1442, D6:D1442,"Biología Molecular y Biotecnología de las Interacciones Planta-Bacteria",G6:G1442,"No")</f>
        <v>31</v>
      </c>
      <c r="AL48" s="5">
        <f>COUNTIFS(   D6:D1442,"Biología Molecular y Biotecnología de las Interacciones Planta-Bacteria",H6:H1442,"Sí")</f>
        <v>6</v>
      </c>
      <c r="AM48" s="5">
        <f>COUNTIFS(   D6:D1442,"Biología Molecular y Biotecnología de las Interacciones Planta-Bacteria",I6:I1442,"Sí")</f>
        <v>5</v>
      </c>
      <c r="AN48" s="5">
        <f>COUNTIFS(   D6:D1442,"Biología Molecular y Biotecnología de las Interacciones Planta-Bacteria",I6:I1442,"No")</f>
        <v>2</v>
      </c>
      <c r="AO48" s="5">
        <f>SUMIFS( E6:E1442, D6:D1442,"Biología Molecular y Biotecnología de las Interacciones Planta-Bacteria",I6:I1442,"Sí")</f>
        <v>28</v>
      </c>
      <c r="AP48" s="5">
        <f>SUMIFS( E6:E1442, D6:D1442,"Biología Molecular y Biotecnología de las Interacciones Planta-Bacteria",I6:I1442,"No")</f>
        <v>7</v>
      </c>
      <c r="AQ48" s="5">
        <f>COUNTIFS(   D6:D1442,"Biología Molecular y Biotecnología de las Interacciones Planta-Bacteria",J6:J1442,"Sí")</f>
        <v>7</v>
      </c>
      <c r="AR48" s="5">
        <f>COUNTIFS(   D6:D1442,"Biología Molecular y Biotecnología de las Interacciones Planta-Bacteria",K6:K1442,"Sí")</f>
        <v>5</v>
      </c>
      <c r="AS48" s="5">
        <f>COUNTIFS(   D6:D1442,"Biología Molecular y Biotecnología de las Interacciones Planta-Bacteria",L6:L1442,"Sí")</f>
        <v>0</v>
      </c>
      <c r="AT48" s="5">
        <f>SUMIFS( E6:E1442, D6:D1442,"Biología Molecular y Biotecnología de las Interacciones Planta-Bacteria")</f>
        <v>35</v>
      </c>
      <c r="AU48" s="5">
        <f>SUMIFS( E6:E1442, F6:F1442,"Hombre", D6:D1442,"Biología Molecular y Biotecnología de las Interacciones Planta-Bacteria")</f>
        <v>16</v>
      </c>
      <c r="AV48" s="5">
        <f>SUMIFS( E4:E1441, F4:F1441,"Mujer", D4:D1441,"Biología Molecular y Biotecnología de las Interacciones Planta-Bacteria")</f>
        <v>19</v>
      </c>
      <c r="AW48" s="19">
        <f>SUMIFS( E6:E1442, A6:A1442,"2018", D6:D1442,"Biología Molecular y Biotecnología de las Interacciones Planta-Bacteria")</f>
        <v>21</v>
      </c>
      <c r="AX48" s="5">
        <f>SUMIFS( E6:E1442, A6:A1442,"2019", D6:D1442,"Biología Molecular y Biotecnología de las Interacciones Planta-Bacteria")</f>
        <v>10</v>
      </c>
      <c r="AY48" s="5">
        <f>SUMIFS( E6:E1442, A6:A1442,"2020", D6:D1442,"Biología Molecular y Biotecnología de las Interacciones Planta-Bacteria")</f>
        <v>4</v>
      </c>
      <c r="AZ48" s="5">
        <f>SUMIFS( E6:E1442, A6:A1442,"2021", D6:D1442,"Biología Molecular y Biotecnología de las Interacciones Planta-Bacteria")</f>
        <v>0</v>
      </c>
      <c r="BA48" s="5">
        <f>SUMIFS( E6:E1442, A6:A1442,"2022", D6:D1442,"Biología Molecular y Biotecnología de las Interacciones Planta-Bacteria")</f>
        <v>0</v>
      </c>
      <c r="BB48" s="19">
        <f>SUMIFS( E6:E1442, N6:N1442,"2018", D6:D1442,"Biología Molecular y Biotecnología de las Interacciones Planta-Bacteria")</f>
        <v>0</v>
      </c>
      <c r="BC48" s="5">
        <f>SUMIFS( E6:E1442, N6:N1442,"2019", D6:D1442,"Biología Molecular y Biotecnología de las Interacciones Planta-Bacteria")</f>
        <v>24</v>
      </c>
      <c r="BD48" s="5">
        <f>SUMIFS( E6:E1442, N6:N1442,"2020", D6:D1442,"Biología Molecular y Biotecnología de las Interacciones Planta-Bacteria")</f>
        <v>7</v>
      </c>
      <c r="BE48" s="5">
        <f>SUMIFS( E6:E1442, N6:N1442,"2021", D6:D1442,"Biología Molecular y Biotecnología de las Interacciones Planta-Bacteria")</f>
        <v>4</v>
      </c>
      <c r="BF48" s="5">
        <f>SUMIFS( E6:E1442, N6:N1442,"2022", D6:D1442,"Biología Molecular y Biotecnología de las Interacciones Planta-Bacteria")</f>
        <v>0</v>
      </c>
      <c r="BG48" s="14">
        <f>AVERAGEIFS( E4:E1441, D4:D1441,"Biología Molecular y Biotecnología de las Interacciones Planta-Bacteria")</f>
        <v>5.833333333333333</v>
      </c>
      <c r="BH48" s="14"/>
      <c r="BI48" s="14"/>
      <c r="BJ48" s="14"/>
      <c r="BK48" s="14"/>
      <c r="BL48" s="37"/>
      <c r="BM48" s="14"/>
      <c r="BN48" s="14"/>
      <c r="BO48" s="14"/>
      <c r="BP48" s="14"/>
      <c r="BQ48" s="14"/>
      <c r="BR48" s="14"/>
    </row>
    <row r="49" spans="1:70" ht="15" customHeight="1">
      <c r="A49" s="24">
        <v>2018</v>
      </c>
      <c r="B49" s="24" t="s">
        <v>136</v>
      </c>
      <c r="C49" s="24" t="s">
        <v>189</v>
      </c>
      <c r="D49" s="24" t="s">
        <v>259</v>
      </c>
      <c r="E49" s="23">
        <v>4</v>
      </c>
      <c r="F49" s="24" t="s">
        <v>211</v>
      </c>
      <c r="G49" s="24" t="s">
        <v>225</v>
      </c>
      <c r="H49" s="23" t="s">
        <v>226</v>
      </c>
      <c r="I49" s="24" t="s">
        <v>226</v>
      </c>
      <c r="J49" s="23" t="s">
        <v>226</v>
      </c>
      <c r="K49" s="24" t="s">
        <v>225</v>
      </c>
      <c r="L49" s="23"/>
      <c r="M49" s="26" t="s">
        <v>263</v>
      </c>
      <c r="N49" s="24">
        <v>2018</v>
      </c>
      <c r="O49" s="51" t="s">
        <v>320</v>
      </c>
      <c r="P49" s="52"/>
      <c r="Q49" s="52"/>
      <c r="R49" s="52"/>
      <c r="S49" s="52"/>
      <c r="T49" s="53"/>
      <c r="U49" s="5">
        <f>COUNTIFS(   D7:D1443,"Bioquímica Vegetal y Fotosíntesis")</f>
        <v>2</v>
      </c>
      <c r="V49" s="5">
        <f>COUNTIFS(   D5:D1442,"Bioquímica Vegetal y Fotosíntesis",F5:F1442,"Hombre")</f>
        <v>1</v>
      </c>
      <c r="W49" s="5">
        <f>COUNTIFS(   D7:D1443,"Bioquímica Vegetal y Fotosíntesis",F7:F1443,"Mujer")</f>
        <v>1</v>
      </c>
      <c r="X49" s="19">
        <f>COUNTIFS(   A7:A1443,"2018", D7:D1443,"Bioquímica Vegetal y Fotosíntesis")</f>
        <v>1</v>
      </c>
      <c r="Y49" s="5">
        <f>COUNTIFS(   A7:A1443,"2019", D7:D1443,"Bioquímica Vegetal y Fotosíntesis")</f>
        <v>1</v>
      </c>
      <c r="Z49" s="5">
        <f>COUNTIFS(   A7:A1443,"2020", D7:D1443,"Bioquímica Vegetal y Fotosíntesis")</f>
        <v>0</v>
      </c>
      <c r="AA49" s="5">
        <f>COUNTIFS(   A7:A1443,"2021", D7:D1443,"Bioquímica Vegetal y Fotosíntesis")</f>
        <v>0</v>
      </c>
      <c r="AB49" s="5">
        <f>COUNTIFS(  A7:A1443,"2022", D7:D1443,"Bioquímica Vegetal y Fotosíntesis")</f>
        <v>0</v>
      </c>
      <c r="AC49" s="19">
        <f>COUNTIFS(   N7:N1443,"2018", D7:D1443,"Bioquímica Vegetal y Fotosíntesis")</f>
        <v>0</v>
      </c>
      <c r="AD49" s="5">
        <f>COUNTIFS(   N7:N1443,"2019", D7:D1443,"Bioquímica Vegetal y Fotosíntesis")</f>
        <v>1</v>
      </c>
      <c r="AE49" s="5">
        <f>COUNTIFS(   N7:N1443,"2020", D7:D1443,"Bioquímica Vegetal y Fotosíntesis")</f>
        <v>1</v>
      </c>
      <c r="AF49" s="5">
        <f>COUNTIFS(   N7:N1443,"2021", D7:D1443,"Bioquímica Vegetal y Fotosíntesis")</f>
        <v>0</v>
      </c>
      <c r="AG49" s="5">
        <f>COUNTIFS(   N7:N1443,"2022", D7:D1443,"Bioquímica Vegetal y Fotosíntesis")</f>
        <v>0</v>
      </c>
      <c r="AH49" s="5">
        <f>COUNTIFS(   D7:D1443,"Bioquímica Vegetal y Fotosíntesis",G7:G1443,"Sí")</f>
        <v>0</v>
      </c>
      <c r="AI49" s="5">
        <f>COUNTIFS(   D7:D1443,"Bioquímica Vegetal y Fotosíntesis",G7:G1443,"No")</f>
        <v>2</v>
      </c>
      <c r="AJ49" s="5">
        <f>SUMIFS( E7:E1443, D7:D1443,"Bioquímica Vegetal y Fotosíntesis",G7:G1443,"Sí")</f>
        <v>0</v>
      </c>
      <c r="AK49" s="5">
        <f>SUMIFS( E7:E1443, D7:D1443,"Bioquímica Vegetal y Fotosíntesis",G7:G1443,"No")</f>
        <v>9</v>
      </c>
      <c r="AL49" s="5">
        <f>COUNTIFS(   D7:D1443,"Bioquímica Vegetal y Fotosíntesis",H7:H1443,"Sí")</f>
        <v>2</v>
      </c>
      <c r="AM49" s="5">
        <f>COUNTIFS(   D7:D1443,"Bioquímica Vegetal y Fotosíntesis",I7:I1443,"Sí")</f>
        <v>1</v>
      </c>
      <c r="AN49" s="5">
        <f>COUNTIFS(   D7:D1443,"Bioquímica Vegetal y Fotosíntesis",I7:I1443,"No")</f>
        <v>1</v>
      </c>
      <c r="AO49" s="5">
        <f>SUMIFS( E7:E1443, D7:D1443,"Bioquímica Vegetal y Fotosíntesis",I7:I1443,"Sí")</f>
        <v>2</v>
      </c>
      <c r="AP49" s="5">
        <f>SUMIFS( E7:E1443, D7:D1443,"Bioquímica Vegetal y Fotosíntesis",I7:I1443,"No")</f>
        <v>7</v>
      </c>
      <c r="AQ49" s="5">
        <f>COUNTIFS(   D7:D1443,"Bioquímica Vegetal y Fotosíntesis",J7:J1443,"Sí")</f>
        <v>2</v>
      </c>
      <c r="AR49" s="5">
        <f>COUNTIFS(   D7:D1443,"Bioquímica Vegetal y Fotosíntesis",K7:K1443,"Sí")</f>
        <v>2</v>
      </c>
      <c r="AS49" s="5">
        <f>COUNTIFS(   D7:D1443,"Bioquímica Vegetal y Fotosíntesis",L7:L1443,"Sí")</f>
        <v>0</v>
      </c>
      <c r="AT49" s="5">
        <f>SUMIFS( E7:E1443, D7:D1443,"Bioquímica Vegetal y Fotosíntesis")</f>
        <v>9</v>
      </c>
      <c r="AU49" s="5">
        <f>SUMIFS( E7:E1443, F7:F1443,"Hombre", D7:D1443,"Bioquímica Vegetal y Fotosíntesis")</f>
        <v>7</v>
      </c>
      <c r="AV49" s="5">
        <f>SUMIFS( E5:E1442, F5:F1442,"Mujer", D5:D1442,"Bioquímica Vegetal y Fotosíntesis")</f>
        <v>2</v>
      </c>
      <c r="AW49" s="19">
        <f>SUMIFS( E7:E1443, A7:A1443,"2018", D7:D1443,"Bioquímica Vegetal y Fotosíntesis")</f>
        <v>7</v>
      </c>
      <c r="AX49" s="5">
        <f>SUMIFS( E7:E1443, A7:A1443,"2019", D7:D1443,"Bioquímica Vegetal y Fotosíntesis")</f>
        <v>2</v>
      </c>
      <c r="AY49" s="5">
        <f>SUMIFS( E7:E1443, A7:A1443,"2020", D7:D1443,"Bioquímica Vegetal y Fotosíntesis")</f>
        <v>0</v>
      </c>
      <c r="AZ49" s="5">
        <f>SUMIFS( E7:E1443, A7:A1443,"2021", D7:D1443,"Bioquímica Vegetal y Fotosíntesis")</f>
        <v>0</v>
      </c>
      <c r="BA49" s="5">
        <f>SUMIFS( E7:E1443, A7:A1443,"2022", D7:D1443,"Bioquímica Vegetal y Fotosíntesis")</f>
        <v>0</v>
      </c>
      <c r="BB49" s="19">
        <f>SUMIFS( E7:E1443, N7:N1443,"2018", D7:D1443,"Bioquímica Vegetal y Fotosíntesis")</f>
        <v>0</v>
      </c>
      <c r="BC49" s="5">
        <f>SUMIFS( E7:E1443, N7:N1443,"2019", D7:D1443,"Bioquímica Vegetal y Fotosíntesis")</f>
        <v>7</v>
      </c>
      <c r="BD49" s="5">
        <f>SUMIFS( E7:E1443, N7:N1443,"2020", D7:D1443,"Bioquímica Vegetal y Fotosíntesis")</f>
        <v>2</v>
      </c>
      <c r="BE49" s="5">
        <f>SUMIFS( E7:E1443, N7:N1443,"2021", D7:D1443,"Bioquímica Vegetal y Fotosíntesis")</f>
        <v>0</v>
      </c>
      <c r="BF49" s="5">
        <f>SUMIFS( E7:E1443, N7:N1443,"2022", D7:D1443,"Bioquímica Vegetal y Fotosíntesis")</f>
        <v>0</v>
      </c>
      <c r="BG49" s="14">
        <f>AVERAGEIFS( E7:E1443, D7:D1443,"Bioquímica Vegetal y Fotosíntesis")</f>
        <v>4.5</v>
      </c>
      <c r="BH49" s="14"/>
      <c r="BI49" s="14"/>
      <c r="BJ49" s="14"/>
      <c r="BK49" s="14"/>
      <c r="BL49" s="37"/>
      <c r="BM49" s="14"/>
      <c r="BN49" s="14"/>
      <c r="BO49" s="14"/>
      <c r="BP49" s="14"/>
      <c r="BQ49" s="14"/>
      <c r="BR49" s="14"/>
    </row>
    <row r="50" spans="1:70" ht="15" customHeight="1">
      <c r="A50" s="24">
        <v>2018</v>
      </c>
      <c r="B50" s="24" t="s">
        <v>4</v>
      </c>
      <c r="C50" s="24" t="s">
        <v>23</v>
      </c>
      <c r="D50" s="24" t="s">
        <v>27</v>
      </c>
      <c r="E50" s="23">
        <v>2</v>
      </c>
      <c r="F50" s="24" t="s">
        <v>207</v>
      </c>
      <c r="G50" s="24" t="s">
        <v>225</v>
      </c>
      <c r="H50" s="23" t="s">
        <v>226</v>
      </c>
      <c r="I50" s="24" t="s">
        <v>225</v>
      </c>
      <c r="J50" s="23" t="s">
        <v>226</v>
      </c>
      <c r="K50" s="24" t="s">
        <v>226</v>
      </c>
      <c r="L50" s="23"/>
      <c r="M50" s="26" t="s">
        <v>263</v>
      </c>
      <c r="N50" s="24">
        <v>2018</v>
      </c>
      <c r="O50" s="67" t="s">
        <v>54</v>
      </c>
      <c r="P50" s="68"/>
      <c r="Q50" s="68"/>
      <c r="R50" s="68"/>
      <c r="S50" s="68"/>
      <c r="T50" s="69"/>
      <c r="U50" s="5">
        <f>COUNTIFS(   D4:D1440,"Biotecnología y Fisiología de Cultivos de interés Agroalimentario")</f>
        <v>1</v>
      </c>
      <c r="V50" s="5">
        <f>COUNTIFS(   D4:D1440,"Biotecnología y Fisiología de Cultivos de interés Agroalimentario",F4:F1440,"Hombre")</f>
        <v>0</v>
      </c>
      <c r="W50" s="5">
        <f>COUNTIFS(   D4:D1440,"Biotecnología y Fisiología de Cultivos de interés Agroalimentario",F4:F1440,"Mujer")</f>
        <v>1</v>
      </c>
      <c r="X50" s="19">
        <f>COUNTIFS(   A4:A1440,"2018", D4:D1440,"Biotecnología y Fisiología de Cultivos de interés Agroalimentario")</f>
        <v>0</v>
      </c>
      <c r="Y50" s="5">
        <f>COUNTIFS(   A4:A1440,"2019", D4:D1440,"Biotecnología y Fisiología de Cultivos de interés Agroalimentario")</f>
        <v>0</v>
      </c>
      <c r="Z50" s="5">
        <f>COUNTIFS(   A4:A1440,"2020", D4:D1440,"Biotecnología y Fisiología de Cultivos de interés Agroalimentario")</f>
        <v>1</v>
      </c>
      <c r="AA50" s="5">
        <f>COUNTIFS(   A4:A1440,"2021", D4:D1440,"Biotecnología y Fisiología de Cultivos de interés Agroalimentario")</f>
        <v>0</v>
      </c>
      <c r="AB50" s="5">
        <f>COUNTIFS(  A4:A1440,"2022", D4:D1440,"Biotecnología y Fisiología de Cultivos de interés Agroalimentario")</f>
        <v>0</v>
      </c>
      <c r="AC50" s="19">
        <f>COUNTIFS(   N4:N1440,"2018", D4:D1440,"Biotecnología y Fisiología de Cultivos de interés Agroalimentario")</f>
        <v>0</v>
      </c>
      <c r="AD50" s="5">
        <f>COUNTIFS(   N4:N1440,"2019", D4:D1440,"Biotecnología y Fisiología de Cultivos de interés Agroalimentario")</f>
        <v>0</v>
      </c>
      <c r="AE50" s="5">
        <f>COUNTIFS(   N4:N1440,"2020", D4:D1440,"Biotecnología y Fisiología de Cultivos de interés Agroalimentario")</f>
        <v>1</v>
      </c>
      <c r="AF50" s="5">
        <f>COUNTIFS(   N4:N1440,"2021", D4:D1440,"Biotecnología y Fisiología de Cultivos de interés Agroalimentario")</f>
        <v>0</v>
      </c>
      <c r="AG50" s="5">
        <f>COUNTIFS(   N4:N1440,"2022", D4:D1440,"Biotecnología y Fisiología de Cultivos de interés Agroalimentario")</f>
        <v>0</v>
      </c>
      <c r="AH50" s="5">
        <f>COUNTIFS(   D4:D1440,"Biotecnología y Fisiología de Cultivos de interés Agroalimentario",G4:G1440,"Sí")</f>
        <v>0</v>
      </c>
      <c r="AI50" s="5">
        <f>COUNTIFS(   D4:D1440,"Biotecnología y Fisiología de Cultivos de interés Agroalimentario",G4:G1440,"No")</f>
        <v>1</v>
      </c>
      <c r="AJ50" s="5">
        <f>SUMIFS( E4:E1440, D4:D1440,"Biotecnología y Fisiología de Cultivos de interés Agroalimentario",G4:G1440,"Sí")</f>
        <v>0</v>
      </c>
      <c r="AK50" s="5">
        <f>SUMIFS( E4:E1440, D4:D1440,"Biotecnología y Fisiología de Cultivos de interés Agroalimentario",G4:G1440,"No")</f>
        <v>2</v>
      </c>
      <c r="AL50" s="5">
        <f>COUNTIFS(   D4:D1440,"Biotecnología y Fisiología de Cultivos de interés Agroalimentario",H4:H1440,"Sí")</f>
        <v>1</v>
      </c>
      <c r="AM50" s="5">
        <f>COUNTIFS(   D4:D1440,"Biotecnología y Fisiología de Cultivos de interés Agroalimentario",I4:I1440,"Sí")</f>
        <v>1</v>
      </c>
      <c r="AN50" s="5">
        <f>COUNTIFS(   D4:D1440,"Biotecnología y Fisiología de Cultivos de interés Agroalimentario",I4:I1440,"No")</f>
        <v>0</v>
      </c>
      <c r="AO50" s="5">
        <f>SUMIFS( E4:E1440, D4:D1440,"Biotecnología y Fisiología de Cultivos de interés Agroalimentario",I4:I1440,"Sí")</f>
        <v>2</v>
      </c>
      <c r="AP50" s="5">
        <f>SUMIFS( E4:E1440, D4:D1440,"Biotecnología y Fisiología de Cultivos de interés Agroalimentario",I4:I1440,"No")</f>
        <v>0</v>
      </c>
      <c r="AQ50" s="5">
        <f>COUNTIFS(   D4:D1440,"Biotecnología y Fisiología de Cultivos de interés Agroalimentario",J4:J1440,"Sí")</f>
        <v>1</v>
      </c>
      <c r="AR50" s="5">
        <f>COUNTIFS(   D4:D1440,"Biotecnología y Fisiología de Cultivos de interés Agroalimentario",K4:K1440,"Sí")</f>
        <v>0</v>
      </c>
      <c r="AS50" s="5">
        <f>COUNTIFS(   D4:D1440,"Biotecnología y Fisiología de Cultivos de interés Agroalimentario",L4:L1440,"Sí")</f>
        <v>0</v>
      </c>
      <c r="AT50" s="5">
        <f>SUMIFS( E4:E1440, D4:D1440,"Biotecnología y Fisiología de Cultivos de interés Agroalimentario")</f>
        <v>2</v>
      </c>
      <c r="AU50" s="5">
        <f>SUMIFS( E4:E1440, F4:F1440,"Hombre", D4:D1440,"Biotecnología y Fisiología de Cultivos de interés Agroalimentario")</f>
        <v>0</v>
      </c>
      <c r="AV50" s="5">
        <f>SUMIFS( E4:E1440, F4:F1440,"Mujer", D4:D1440,"Biotecnología y Fisiología de Cultivos de interés Agroalimentario")</f>
        <v>2</v>
      </c>
      <c r="AW50" s="19">
        <f>SUMIFS( E4:E1440, A4:A1440,"2018", D4:D1440,"Biotecnología y Fisiología de Cultivos de interés Agroalimentario")</f>
        <v>0</v>
      </c>
      <c r="AX50" s="5">
        <f>SUMIFS( E4:E1440, A4:A1440,"2019", D4:D1440,"Biotecnología y Fisiología de Cultivos de interés Agroalimentario")</f>
        <v>0</v>
      </c>
      <c r="AY50" s="5">
        <f>SUMIFS( E4:E1440, A4:A1440,"2020", D4:D1440,"Biotecnología y Fisiología de Cultivos de interés Agroalimentario")</f>
        <v>2</v>
      </c>
      <c r="AZ50" s="5">
        <f>SUMIFS( E4:E1440, A4:A1440,"2021", D4:D1440,"Biotecnología y Fisiología de Cultivos de interés Agroalimentario")</f>
        <v>0</v>
      </c>
      <c r="BA50" s="5">
        <f>SUMIFS( E4:E1440, A4:A1440,"2022", D4:D1440,"Biotecnología y Fisiología de Cultivos de interés Agroalimentario")</f>
        <v>0</v>
      </c>
      <c r="BB50" s="19">
        <f>SUMIFS( E4:E1440, N4:N1440,"2018", D4:D1440,"Biotecnología y Fisiología de Cultivos de interés Agroalimentario")</f>
        <v>0</v>
      </c>
      <c r="BC50" s="5">
        <f>SUMIFS( E4:E1440, N4:N1440,"2019", D4:D1440,"Biotecnología y Fisiología de Cultivos de interés Agroalimentario")</f>
        <v>0</v>
      </c>
      <c r="BD50" s="5">
        <f>SUMIFS( E4:E1440, N4:N1440,"2020", D4:D1440,"Biotecnología y Fisiología de Cultivos de interés Agroalimentario")</f>
        <v>2</v>
      </c>
      <c r="BE50" s="5">
        <f>SUMIFS( E4:E1440, N4:N1440,"2021", D4:D1440,"Biotecnología y Fisiología de Cultivos de interés Agroalimentario")</f>
        <v>0</v>
      </c>
      <c r="BF50" s="5">
        <f>SUMIFS( E4:E1440, N4:N1440,"2022", D4:D1440,"Biotecnología y Fisiología de Cultivos de interés Agroalimentario")</f>
        <v>0</v>
      </c>
      <c r="BG50" s="14">
        <f>AVERAGEIFS( E4:E1440, D4:D1440,"Biotecnología y Fisiología de Cultivos de interés Agroalimentario")</f>
        <v>2</v>
      </c>
      <c r="BH50" s="14">
        <v>0</v>
      </c>
      <c r="BI50" s="14">
        <v>0</v>
      </c>
      <c r="BJ50" s="14">
        <v>0</v>
      </c>
      <c r="BK50" s="14">
        <v>0</v>
      </c>
      <c r="BL50" s="37" t="e">
        <f>AVERAGEIFS( E4:E1440, A4:A1440,"2022", D4:D1440,"Biotecnología y Fisiología de Cultivos de interés Agroalimentario")</f>
        <v>#DIV/0!</v>
      </c>
      <c r="BM50" s="14">
        <v>1.5</v>
      </c>
      <c r="BN50" s="14">
        <v>0</v>
      </c>
      <c r="BO50" s="14">
        <v>0</v>
      </c>
      <c r="BP50" s="14">
        <v>0</v>
      </c>
      <c r="BQ50" s="14">
        <v>0</v>
      </c>
      <c r="BR50" s="14">
        <v>1.5</v>
      </c>
    </row>
    <row r="51" spans="1:70" ht="15" customHeight="1">
      <c r="A51" s="24">
        <v>2018</v>
      </c>
      <c r="B51" s="24" t="s">
        <v>136</v>
      </c>
      <c r="C51" s="24" t="s">
        <v>189</v>
      </c>
      <c r="D51" s="24" t="s">
        <v>264</v>
      </c>
      <c r="E51" s="23">
        <v>1</v>
      </c>
      <c r="F51" s="24" t="s">
        <v>211</v>
      </c>
      <c r="G51" s="24" t="s">
        <v>225</v>
      </c>
      <c r="H51" s="23" t="s">
        <v>226</v>
      </c>
      <c r="I51" s="24" t="s">
        <v>225</v>
      </c>
      <c r="J51" s="23" t="s">
        <v>226</v>
      </c>
      <c r="K51" s="24" t="s">
        <v>226</v>
      </c>
      <c r="L51" s="23"/>
      <c r="M51" s="26" t="s">
        <v>263</v>
      </c>
      <c r="N51" s="24">
        <v>2018</v>
      </c>
      <c r="O51" s="51" t="s">
        <v>357</v>
      </c>
      <c r="P51" s="52"/>
      <c r="Q51" s="52"/>
      <c r="R51" s="52"/>
      <c r="S51" s="52"/>
      <c r="T51" s="53"/>
      <c r="U51" s="5">
        <f>COUNTIFS(   D4:D1440,"Ecología Acuática. Cambio Global y Redes Tróficas")</f>
        <v>4</v>
      </c>
      <c r="V51" s="5">
        <f>COUNTIFS(   D4:D1440,"Ecología Acuática. Cambio Global y Redes Tróficas",F4:F1440,"Hombre")</f>
        <v>2</v>
      </c>
      <c r="W51" s="5">
        <f>COUNTIFS(   D4:D1440,"Ecología Acuática. Cambio Global y Redes Tróficas",F4:F1440,"Mujer")</f>
        <v>2</v>
      </c>
      <c r="X51" s="19">
        <f>COUNTIFS(   A3:A1440,"2018", D3:D1440,"Ecología Acuática. Cambio Global y Redes Tróficas")</f>
        <v>1</v>
      </c>
      <c r="Y51" s="5">
        <f>COUNTIFS(   A3:A1440,"2019", D3:D1440,"Ecología Acuática. Cambio Global y Redes Tróficas")</f>
        <v>2</v>
      </c>
      <c r="Z51" s="5">
        <f>COUNTIFS(   A3:A1440,"2020", D3:D1440,"Ecología Acuática. Cambio Global y Redes Tróficas")</f>
        <v>1</v>
      </c>
      <c r="AA51" s="5">
        <f>COUNTIFS(   A4:A1440,"2021", D4:D1440,"Ecología Acuática. Cambio Global y Redes Tróficas")</f>
        <v>0</v>
      </c>
      <c r="AB51" s="5">
        <f>COUNTIFS(  A4:A1440,"2022", D4:D1440,"Ecología Acuática. Cambio Global y Redes Tróficas")</f>
        <v>0</v>
      </c>
      <c r="AC51" s="19">
        <f>COUNTIFS(   N4:N1440,"2018", D4:D1440,"Ecología Acuática. Cambio Global y Redes Tróficas")</f>
        <v>0</v>
      </c>
      <c r="AD51" s="5">
        <f>COUNTIFS(   N4:N1440,"2019", D4:D1440,"Ecología Acuática. Cambio Global y Redes Tróficas")</f>
        <v>2</v>
      </c>
      <c r="AE51" s="5">
        <f>COUNTIFS(   N4:N1440,"2020", D4:D1440,"Ecología Acuática. Cambio Global y Redes Tróficas")</f>
        <v>1</v>
      </c>
      <c r="AF51" s="5">
        <f>COUNTIFS(   N4:N1440,"2021", D4:D1440,"Ecología Acuática. Cambio Global y Redes Tróficas")</f>
        <v>1</v>
      </c>
      <c r="AG51" s="5">
        <f>COUNTIFS(   N4:N1440,"2022", D4:D1440,"Ecología Acuática. Cambio Global y Redes Tróficas")</f>
        <v>0</v>
      </c>
      <c r="AH51" s="5">
        <f>COUNTIFS(   D4:D1440,"Ecología Acuática. Cambio Global y Redes Tróficas",G4:G1440,"Sí")</f>
        <v>1</v>
      </c>
      <c r="AI51" s="5">
        <f>COUNTIFS(   D4:D1440,"Ecología Acuática. Cambio Global y Redes Tróficas",G4:G1440,"No")</f>
        <v>3</v>
      </c>
      <c r="AJ51" s="5">
        <f>SUMIFS( E4:E1440, D4:D1440,"Ecología Acuática. Cambio Global y Redes Tróficas",G4:G1440,"Sí")</f>
        <v>6</v>
      </c>
      <c r="AK51" s="5">
        <f>SUMIFS( E4:E1440, D4:D1440,"Ecología Acuática. Cambio Global y Redes Tróficas",G4:G1440,"No")</f>
        <v>12</v>
      </c>
      <c r="AL51" s="5">
        <f>COUNTIFS(   D4:D1440,"Ecología Acuática. Cambio Global y Redes Tróficas",H4:H1440,"Sí")</f>
        <v>4</v>
      </c>
      <c r="AM51" s="5">
        <f>COUNTIFS(   D4:D1440,"Ecología Acuática. Cambio Global y Redes Tróficas",I4:I1440,"Sí")</f>
        <v>3</v>
      </c>
      <c r="AN51" s="5">
        <f>COUNTIFS(   D4:D1440,"Ecología Acuática. Cambio Global y Redes Tróficas",I4:I1440,"No")</f>
        <v>1</v>
      </c>
      <c r="AO51" s="5">
        <f>SUMIFS( E4:E1440, D4:D1440,"Ecología Acuática. Cambio Global y Redes Tróficas",I4:I1440,"Sí")</f>
        <v>15</v>
      </c>
      <c r="AP51" s="5">
        <f>SUMIFS( E4:E1440, D4:D1440,"Ecología Acuática. Cambio Global y Redes Tróficas",I4:I1440,"No")</f>
        <v>3</v>
      </c>
      <c r="AQ51" s="5">
        <f>COUNTIFS(   D4:D1440,"Ecología Acuática. Cambio Global y Redes Tróficas",J4:J1440,"Sí")</f>
        <v>4</v>
      </c>
      <c r="AR51" s="5">
        <f>COUNTIFS(   D4:D1440,"Ecología Acuática. Cambio Global y Redes Tróficas",K4:K1440,"Sí")</f>
        <v>2</v>
      </c>
      <c r="AS51" s="5">
        <f>COUNTIFS(   D4:D1440,"Ecología Acuática. Cambio Global y Redes Tróficas",L4:L1440,"Sí")</f>
        <v>0</v>
      </c>
      <c r="AT51" s="5">
        <f>SUMIFS( E4:E1440, D4:D1440,"Ecología Acuática. Cambio Global y Redes Tróficas")</f>
        <v>18</v>
      </c>
      <c r="AU51" s="5">
        <f>SUMIFS( E4:E1440, F4:F1440,"Hombre", D4:D1440,"Ecología Acuática. Cambio Global y Redes Tróficas")</f>
        <v>9</v>
      </c>
      <c r="AV51" s="5">
        <f>SUMIFS( E4:E1440, F4:F1440,"Mujer", D4:D1440,"Ecología Acuática. Cambio Global y Redes Tróficas")</f>
        <v>9</v>
      </c>
      <c r="AW51" s="19">
        <f>SUMIFS( E4:E1440, A4:A1440,"2018", D4:D1440,"Ecología Acuática. Cambio Global y Redes Tróficas")</f>
        <v>2</v>
      </c>
      <c r="AX51" s="5">
        <f>SUMIFS( E4:E1440, A4:A1440,"2019", D4:D1440,"Ecología Acuática. Cambio Global y Redes Tróficas")</f>
        <v>9</v>
      </c>
      <c r="AY51" s="5">
        <f>SUMIFS( E4:E1440, A4:A1440,"2020", D4:D1440,"Ecología Acuática. Cambio Global y Redes Tróficas")</f>
        <v>7</v>
      </c>
      <c r="AZ51" s="5">
        <f>SUMIFS( E4:E1440, A4:A1440,"2021", D4:D1440,"Ecología Acuática. Cambio Global y Redes Tróficas")</f>
        <v>0</v>
      </c>
      <c r="BA51" s="5">
        <f>SUMIFS( E4:E1440, A4:A1440,"2022", D4:D1440,"Ecología Acuática. Cambio Global y Redes Tróficas")</f>
        <v>0</v>
      </c>
      <c r="BB51" s="19">
        <f>SUMIFS( E4:E1440, N4:N1440,"2018", D4:D1440,"Ecología Acuática. Cambio Global y Redes Tróficas")</f>
        <v>0</v>
      </c>
      <c r="BC51" s="5">
        <f>SUMIFS( E4:E1440, N4:N1440,"2019", D4:D1440,"Ecología Acuática. Cambio Global y Redes Tróficas")</f>
        <v>8</v>
      </c>
      <c r="BD51" s="5">
        <f>SUMIFS( E4:E1440, N4:N1440,"2020", D4:D1440,"Ecología Acuática. Cambio Global y Redes Tróficas")</f>
        <v>3</v>
      </c>
      <c r="BE51" s="5">
        <f>SUMIFS( E4:E1440, N4:N1440,"2021", D4:D1440,"Ecología Acuática. Cambio Global y Redes Tróficas")</f>
        <v>7</v>
      </c>
      <c r="BF51" s="5">
        <f>SUMIFS( E4:E1440, N4:N1440,"2022", D4:D1440,"Ecología Acuática. Cambio Global y Redes Tróficas")</f>
        <v>0</v>
      </c>
      <c r="BG51" s="14">
        <f>AVERAGEIFS( E4:E1440, D4:D1440,"Ecología Acuática. Cambio Global y Redes Tróficas")</f>
        <v>4.5</v>
      </c>
      <c r="BH51" s="14"/>
      <c r="BI51" s="14"/>
      <c r="BJ51" s="14"/>
      <c r="BK51" s="14"/>
      <c r="BL51" s="37"/>
      <c r="BM51" s="14"/>
      <c r="BN51" s="14"/>
      <c r="BO51" s="14"/>
      <c r="BP51" s="14"/>
      <c r="BQ51" s="14"/>
      <c r="BR51" s="14"/>
    </row>
    <row r="52" spans="1:70" ht="15" customHeight="1">
      <c r="A52" s="24">
        <v>2018</v>
      </c>
      <c r="B52" s="24" t="s">
        <v>78</v>
      </c>
      <c r="C52" s="24" t="s">
        <v>92</v>
      </c>
      <c r="D52" s="24" t="s">
        <v>265</v>
      </c>
      <c r="E52" s="23"/>
      <c r="F52" s="24" t="s">
        <v>207</v>
      </c>
      <c r="G52" s="24" t="s">
        <v>225</v>
      </c>
      <c r="H52" s="23" t="s">
        <v>226</v>
      </c>
      <c r="I52" s="24" t="s">
        <v>225</v>
      </c>
      <c r="J52" s="23" t="s">
        <v>226</v>
      </c>
      <c r="K52" s="24" t="s">
        <v>226</v>
      </c>
      <c r="L52" s="23"/>
      <c r="M52" s="26" t="s">
        <v>263</v>
      </c>
      <c r="N52" s="24">
        <v>2018</v>
      </c>
      <c r="O52" s="51" t="s">
        <v>292</v>
      </c>
      <c r="P52" s="52"/>
      <c r="Q52" s="52"/>
      <c r="R52" s="52"/>
      <c r="S52" s="52"/>
      <c r="T52" s="53"/>
      <c r="U52" s="5">
        <f>COUNTIFS(   D5:D1441,"Ecología Terrestre")</f>
        <v>8</v>
      </c>
      <c r="V52" s="5">
        <f>COUNTIFS(   D5:D1441,"Ecología Terrestre",F5:F1441,"Hombre")</f>
        <v>6</v>
      </c>
      <c r="W52" s="5">
        <f>COUNTIFS(   D5:D1441,"Ecología Terrestre",F5:F1441,"Mujer")</f>
        <v>2</v>
      </c>
      <c r="X52" s="19">
        <f>COUNTIFS(   A4:A1441,"2018", D4:D1441,"Ecología Terrestre")</f>
        <v>1</v>
      </c>
      <c r="Y52" s="5">
        <f>COUNTIFS(   A4:A1441,"2019", D4:D1441,"Ecología Terrestre")</f>
        <v>5</v>
      </c>
      <c r="Z52" s="5">
        <f>COUNTIFS(   A4:A1441,"2020", D4:D1441,"Ecología Terrestre")</f>
        <v>0</v>
      </c>
      <c r="AA52" s="5">
        <f>COUNTIFS(   A5:A1441,"2021", D5:D1441,"Ecología Terrestre")</f>
        <v>2</v>
      </c>
      <c r="AB52" s="5">
        <f>COUNTIFS(  A5:A1441,"2022", D5:D1441,"Ecología Terrestre")</f>
        <v>0</v>
      </c>
      <c r="AC52" s="19">
        <f>COUNTIFS(   N5:N1441,"2018", D5:D1441,"Ecología Terrestre")</f>
        <v>0</v>
      </c>
      <c r="AD52" s="5">
        <f>COUNTIFS(   N5:N1441,"2019", D5:D1441,"Ecología Terrestre")</f>
        <v>2</v>
      </c>
      <c r="AE52" s="5">
        <f>COUNTIFS(   N5:N1441,"2020", D5:D1441,"Ecología Terrestre")</f>
        <v>4</v>
      </c>
      <c r="AF52" s="5">
        <f>COUNTIFS(   N5:N1441,"2021", D5:D1441,"Ecología Terrestre")</f>
        <v>1</v>
      </c>
      <c r="AG52" s="5">
        <f>COUNTIFS(   N5:N1441,"2022", D5:D1441,"Ecología Terrestre")</f>
        <v>1</v>
      </c>
      <c r="AH52" s="5">
        <f>COUNTIFS(   D5:D1441,"Ecología Terrestre",G5:G1441,"Sí")</f>
        <v>0</v>
      </c>
      <c r="AI52" s="5">
        <f>COUNTIFS(   D5:D1441,"Ecología Terrestre",G5:G1441,"No")</f>
        <v>8</v>
      </c>
      <c r="AJ52" s="5">
        <f>SUMIFS( E5:E1441, D5:D1441,"Ecología Terrestre",G5:G1441,"Sí")</f>
        <v>0</v>
      </c>
      <c r="AK52" s="5">
        <f>SUMIFS( E5:E1441, D5:D1441,"Ecología Terrestre",G5:G1441,"No")</f>
        <v>76</v>
      </c>
      <c r="AL52" s="5">
        <f>COUNTIFS(   D5:D1441,"Ecología Terrestre",H5:H1441,"Sí")</f>
        <v>8</v>
      </c>
      <c r="AM52" s="5">
        <f>COUNTIFS(   D5:D1441,"Ecología Terrestre",I5:I1441,"Sí")</f>
        <v>3</v>
      </c>
      <c r="AN52" s="5">
        <f>COUNTIFS(   D5:D1441,"Ecología Terrestre",I5:I1441,"No")</f>
        <v>5</v>
      </c>
      <c r="AO52" s="5">
        <f>SUMIFS( E5:E1441, D5:D1441,"Ecología Terrestre",I5:I1441,"Sí")</f>
        <v>40</v>
      </c>
      <c r="AP52" s="5">
        <f>SUMIFS( E5:E1441, D5:D1441,"Ecología Terrestre",I5:I1441,"No")</f>
        <v>36</v>
      </c>
      <c r="AQ52" s="5">
        <f>COUNTIFS(   D5:D1441,"Ecología Terrestre",J5:J1441,"Sí")</f>
        <v>8</v>
      </c>
      <c r="AR52" s="5">
        <f>COUNTIFS(   D5:D1441,"Ecología Terrestre",K5:K1441,"Sí")</f>
        <v>3</v>
      </c>
      <c r="AS52" s="5">
        <f>COUNTIFS(   D5:D1441,"Ecología Terrestre",L5:L1441,"Sí")</f>
        <v>0</v>
      </c>
      <c r="AT52" s="5">
        <f>SUMIFS( E5:E1441, D5:D1441,"Ecología Terrestre")</f>
        <v>76</v>
      </c>
      <c r="AU52" s="5">
        <f>SUMIFS( E5:E1441, F5:F1441,"Hombre", D5:D1441,"Ecología Terrestre")</f>
        <v>63</v>
      </c>
      <c r="AV52" s="5">
        <f>SUMIFS( E5:E1441, F5:F1441,"Mujer", D5:D1441,"Ecología Terrestre")</f>
        <v>13</v>
      </c>
      <c r="AW52" s="19">
        <f>SUMIFS( E5:E1441, A5:A1441,"2018", D5:D1441,"Ecología Terrestre")</f>
        <v>20</v>
      </c>
      <c r="AX52" s="5">
        <f>SUMIFS( E5:E1441, A5:A1441,"2019", D5:D1441,"Ecología Terrestre")</f>
        <v>39</v>
      </c>
      <c r="AY52" s="5">
        <f>SUMIFS( E5:E1441, A5:A1441,"2020", D5:D1441,"Ecología Terrestre")</f>
        <v>0</v>
      </c>
      <c r="AZ52" s="5">
        <f>SUMIFS( E5:E1441, A5:A1441,"2021", D5:D1441,"Ecología Terrestre")</f>
        <v>17</v>
      </c>
      <c r="BA52" s="5">
        <f>SUMIFS( E5:E1441, A5:A1441,"2022", D5:D1441,"Ecología Terrestre")</f>
        <v>0</v>
      </c>
      <c r="BB52" s="19">
        <f>SUMIFS( E5:E1441, N5:N1441,"2018", D5:D1441,"Ecología Terrestre")</f>
        <v>0</v>
      </c>
      <c r="BC52" s="5">
        <f>SUMIFS( E5:E1441, N5:N1441,"2019", D5:D1441,"Ecología Terrestre")</f>
        <v>24</v>
      </c>
      <c r="BD52" s="5">
        <f>SUMIFS( E5:E1441, N5:N1441,"2020", D5:D1441,"Ecología Terrestre")</f>
        <v>35</v>
      </c>
      <c r="BE52" s="5">
        <f>SUMIFS( E5:E1441, N5:N1441,"2021", D5:D1441,"Ecología Terrestre")</f>
        <v>11</v>
      </c>
      <c r="BF52" s="5">
        <f>SUMIFS( E5:E1441, N5:N1441,"2022", D5:D1441,"Ecología Terrestre")</f>
        <v>6</v>
      </c>
      <c r="BG52" s="14">
        <f>AVERAGEIFS( E5:E1441, D5:D1441,"Ecología Terrestre")</f>
        <v>9.5</v>
      </c>
      <c r="BH52" s="14"/>
      <c r="BI52" s="14"/>
      <c r="BJ52" s="14"/>
      <c r="BK52" s="14"/>
      <c r="BL52" s="37"/>
      <c r="BM52" s="14"/>
      <c r="BN52" s="14"/>
      <c r="BO52" s="14"/>
      <c r="BP52" s="14"/>
      <c r="BQ52" s="14"/>
      <c r="BR52" s="14"/>
    </row>
    <row r="53" spans="1:70" ht="15" customHeight="1">
      <c r="A53" s="24">
        <v>2018</v>
      </c>
      <c r="B53" s="24" t="s">
        <v>136</v>
      </c>
      <c r="C53" s="24" t="s">
        <v>146</v>
      </c>
      <c r="D53" s="24" t="s">
        <v>149</v>
      </c>
      <c r="E53" s="23">
        <v>1</v>
      </c>
      <c r="F53" s="24" t="s">
        <v>211</v>
      </c>
      <c r="G53" s="24" t="s">
        <v>225</v>
      </c>
      <c r="H53" s="23" t="s">
        <v>226</v>
      </c>
      <c r="I53" s="24" t="s">
        <v>225</v>
      </c>
      <c r="J53" s="23" t="s">
        <v>226</v>
      </c>
      <c r="K53" s="24" t="s">
        <v>226</v>
      </c>
      <c r="L53" s="23"/>
      <c r="M53" s="26" t="s">
        <v>266</v>
      </c>
      <c r="N53" s="24">
        <v>2018</v>
      </c>
      <c r="O53" s="51" t="s">
        <v>401</v>
      </c>
      <c r="P53" s="52"/>
      <c r="Q53" s="52"/>
      <c r="R53" s="52"/>
      <c r="S53" s="52"/>
      <c r="T53" s="53"/>
      <c r="U53" s="5">
        <f>COUNTIFS(   D3:D1439,"Exopolisacáridos microbianos y microorganismos halófilos")</f>
        <v>4</v>
      </c>
      <c r="V53" s="5">
        <f>COUNTIFS(   D3:D1439,"Exopolisacáridos microbianos y microorganismos halófilos",F3:F1439,"Hombre")</f>
        <v>3</v>
      </c>
      <c r="W53" s="5">
        <f>COUNTIFS(   D3:D1439,"Exopolisacáridos microbianos y microorganismos halófilos",F3:F1439,"Mujer")</f>
        <v>1</v>
      </c>
      <c r="X53" s="19">
        <f>COUNTIFS(   A3:A1439,"2018", D3:D1439,"Exopolisacáridos microbianos y microorganismos halófilos")</f>
        <v>0</v>
      </c>
      <c r="Y53" s="5">
        <f>COUNTIFS(   A3:A1439,"2019", D3:D1439,"Exopolisacáridos microbianos y microorganismos halófilos")</f>
        <v>2</v>
      </c>
      <c r="Z53" s="5">
        <f>COUNTIFS(   A3:A1439,"2020", D3:D1439,"Exopolisacáridos microbianos y microorganismos halófilos")</f>
        <v>1</v>
      </c>
      <c r="AA53" s="5">
        <f>COUNTIFS(   A3:A1439,"2021", D3:D1439,"Exopolisacáridos microbianos y microorganismos halófilos")</f>
        <v>1</v>
      </c>
      <c r="AB53" s="5">
        <f>COUNTIFS(  A3:A1439,"2022", D3:D1439,"Exopolisacáridos microbianos y microorganismos halófilos")</f>
        <v>0</v>
      </c>
      <c r="AC53" s="19">
        <f>COUNTIFS(   N3:N1439,"2018", D3:D1439,"Exopolisacáridos microbianos y microorganismos halófilos")</f>
        <v>0</v>
      </c>
      <c r="AD53" s="5">
        <f>COUNTIFS(   N3:N1439,"2019", D3:D1439,"Exopolisacáridos microbianos y microorganismos halófilos")</f>
        <v>2</v>
      </c>
      <c r="AE53" s="5">
        <f>COUNTIFS(   N3:N1439,"2020", D3:D1439,"Exopolisacáridos microbianos y microorganismos halófilos")</f>
        <v>1</v>
      </c>
      <c r="AF53" s="5">
        <f>COUNTIFS(   N3:N1439,"2021", D3:D1439,"Exopolisacáridos microbianos y microorganismos halófilos")</f>
        <v>0</v>
      </c>
      <c r="AG53" s="5">
        <f>COUNTIFS(   N3:N1439,"2022", D3:D1439,"Exopolisacáridos microbianos y microorganismos halófilos")</f>
        <v>1</v>
      </c>
      <c r="AH53" s="5">
        <f>COUNTIFS(   D3:D1439,"Exopolisacáridos microbianos y microorganismos halófilos",G3:G1439,"Sí")</f>
        <v>0</v>
      </c>
      <c r="AI53" s="5">
        <f>COUNTIFS(   D3:D1439,"Exopolisacáridos microbianos y microorganismos halófilos",G3:G1439,"No")</f>
        <v>4</v>
      </c>
      <c r="AJ53" s="5">
        <f>SUMIFS( E3:E1439, D3:D1439,"Exopolisacáridos microbianos y microorganismos halófilos",G3:G1439,"Sí")</f>
        <v>0</v>
      </c>
      <c r="AK53" s="5">
        <f>SUMIFS( E3:E1439, D3:D1439,"Exopolisacáridos microbianos y microorganismos halófilos",G3:G1439,"No")</f>
        <v>8</v>
      </c>
      <c r="AL53" s="5">
        <f>COUNTIFS(   D3:D1439,"Exopolisacáridos microbianos y microorganismos halófilos",H3:H1439,"Sí")</f>
        <v>3</v>
      </c>
      <c r="AM53" s="5">
        <f>COUNTIFS(   D3:D1439,"Exopolisacáridos microbianos y microorganismos halófilos",I3:I1439,"Sí")</f>
        <v>2</v>
      </c>
      <c r="AN53" s="5">
        <f>COUNTIFS(   D3:D1439,"Exopolisacáridos microbianos y microorganismos halófilos",I3:I1439,"No")</f>
        <v>2</v>
      </c>
      <c r="AO53" s="5">
        <f>SUMIFS( E3:E1439, D3:D1439,"Exopolisacáridos microbianos y microorganismos halófilos",I3:I1439,"Sí")</f>
        <v>4</v>
      </c>
      <c r="AP53" s="5">
        <f>SUMIFS( E3:E1439, D3:D1439,"Exopolisacáridos microbianos y microorganismos halófilos",I3:I1439,"No")</f>
        <v>4</v>
      </c>
      <c r="AQ53" s="5">
        <f>COUNTIFS(   D3:D1439,"Exopolisacáridos microbianos y microorganismos halófilos",J3:J1439,"Sí")</f>
        <v>4</v>
      </c>
      <c r="AR53" s="5">
        <f>COUNTIFS(   D3:D1439,"Exopolisacáridos microbianos y microorganismos halófilos",K3:K1439,"Sí")</f>
        <v>2</v>
      </c>
      <c r="AS53" s="5">
        <f>COUNTIFS(   D3:D1439,"Exopolisacáridos microbianos y microorganismos halófilos",L3:L1439,"Sí")</f>
        <v>0</v>
      </c>
      <c r="AT53" s="5">
        <f>SUMIFS( E3:E1439, D3:D1439,"Exopolisacáridos microbianos y microorganismos halófilos")</f>
        <v>8</v>
      </c>
      <c r="AU53" s="5">
        <f>SUMIFS( E3:E1439, F3:F1439,"Hombre", D3:D1439,"Exopolisacáridos microbianos y microorganismos halófilos")</f>
        <v>4</v>
      </c>
      <c r="AV53" s="5">
        <f>SUMIFS( E3:E1439, F3:F1439,"Mujer", D3:D1439,"Exopolisacáridos microbianos y microorganismos halófilos")</f>
        <v>4</v>
      </c>
      <c r="AW53" s="19">
        <f>SUMIFS( E3:E1439, A3:A1439,"2018", D3:D1439,"Exopolisacáridos microbianos y microorganismos halófilos")</f>
        <v>0</v>
      </c>
      <c r="AX53" s="5">
        <f>SUMIFS( E3:E1439, A3:A1439,"2019", D3:D1439,"Exopolisacáridos microbianos y microorganismos halófilos")</f>
        <v>4</v>
      </c>
      <c r="AY53" s="5">
        <f>SUMIFS( E3:E1439, A3:A1439,"2020", D3:D1439,"Exopolisacáridos microbianos y microorganismos halófilos")</f>
        <v>3</v>
      </c>
      <c r="AZ53" s="5">
        <f>SUMIFS( E3:E1439, A3:A1439,"2021", D3:D1439,"Exopolisacáridos microbianos y microorganismos halófilos")</f>
        <v>1</v>
      </c>
      <c r="BA53" s="5">
        <f>SUMIFS( E3:E1439, A3:A1439,"2022", D3:D1439,"Exopolisacáridos microbianos y microorganismos halófilos")</f>
        <v>0</v>
      </c>
      <c r="BB53" s="19">
        <f>SUMIFS( E3:E1439, N3:N1439,"2018", D3:D1439,"Exopolisacáridos microbianos y microorganismos halófilos")</f>
        <v>0</v>
      </c>
      <c r="BC53" s="5">
        <f>SUMIFS( E3:E1439, N3:N1439,"2019", D3:D1439,"Exopolisacáridos microbianos y microorganismos halófilos")</f>
        <v>4</v>
      </c>
      <c r="BD53" s="5">
        <f>SUMIFS( E3:E1439, N3:N1439,"2020", D3:D1439,"Exopolisacáridos microbianos y microorganismos halófilos")</f>
        <v>3</v>
      </c>
      <c r="BE53" s="5">
        <f>SUMIFS( E3:E1439, N3:N1439,"2021", D3:D1439,"Exopolisacáridos microbianos y microorganismos halófilos")</f>
        <v>0</v>
      </c>
      <c r="BF53" s="5">
        <f>SUMIFS( E3:E1439, N3:N1439,"2022", D3:D1439,"Exopolisacáridos microbianos y microorganismos halófilos")</f>
        <v>1</v>
      </c>
      <c r="BG53" s="14">
        <f>AVERAGEIFS( E3:E1439, D3:D1439,"Exopolisacáridos microbianos y microorganismos halófilos")</f>
        <v>2.6666666666666665</v>
      </c>
      <c r="BH53" s="14"/>
      <c r="BI53" s="14"/>
      <c r="BJ53" s="14"/>
      <c r="BK53" s="14"/>
      <c r="BL53" s="37"/>
      <c r="BM53" s="14"/>
      <c r="BN53" s="14"/>
      <c r="BO53" s="14"/>
      <c r="BP53" s="14"/>
      <c r="BQ53" s="14"/>
      <c r="BR53" s="14"/>
    </row>
    <row r="54" spans="1:70" ht="15" customHeight="1">
      <c r="A54" s="24">
        <v>2018</v>
      </c>
      <c r="B54" s="24" t="s">
        <v>78</v>
      </c>
      <c r="C54" s="24" t="s">
        <v>122</v>
      </c>
      <c r="D54" s="24" t="s">
        <v>127</v>
      </c>
      <c r="E54" s="23">
        <v>10</v>
      </c>
      <c r="F54" s="24" t="s">
        <v>207</v>
      </c>
      <c r="G54" s="24" t="s">
        <v>225</v>
      </c>
      <c r="H54" s="23" t="s">
        <v>226</v>
      </c>
      <c r="I54" s="24" t="s">
        <v>226</v>
      </c>
      <c r="J54" s="23" t="s">
        <v>226</v>
      </c>
      <c r="K54" s="24" t="s">
        <v>226</v>
      </c>
      <c r="L54" s="23"/>
      <c r="M54" s="26" t="s">
        <v>267</v>
      </c>
      <c r="N54" s="24">
        <v>2018</v>
      </c>
      <c r="O54" s="67" t="s">
        <v>55</v>
      </c>
      <c r="P54" s="68"/>
      <c r="Q54" s="68"/>
      <c r="R54" s="68"/>
      <c r="S54" s="68"/>
      <c r="T54" s="69"/>
      <c r="U54" s="5">
        <f>COUNTIFS(   D4:D1440,"Fisiología, Bioquímica y Biología Molecular del Estrés Abiótico en Plantas")</f>
        <v>4</v>
      </c>
      <c r="V54" s="5">
        <f>COUNTIFS(   D4:D1440,"Fisiología, Bioquímica y Biología Molecular del Estrés Abiótico en Plantas",F4:F1440,"Hombre")</f>
        <v>3</v>
      </c>
      <c r="W54" s="5">
        <f>COUNTIFS(   D4:D1440,"Fisiología, Bioquímica y Biología Molecular del Estrés Abiótico en Plantas",F4:F1440,"Mujer")</f>
        <v>1</v>
      </c>
      <c r="X54" s="19">
        <f>COUNTIFS(   A4:A1440,"2018", D4:D1440,"Fisiología, Bioquímica y Biología Molecular del Estrés Abiótico en Plantas")</f>
        <v>1</v>
      </c>
      <c r="Y54" s="5">
        <f>COUNTIFS(   A4:A1440,"2019", D4:D1440,"Fisiología, Bioquímica y Biología Molecular del Estrés Abiótico en Plantas")</f>
        <v>1</v>
      </c>
      <c r="Z54" s="5">
        <f>COUNTIFS(   A4:A1440,"2020", D4:D1440,"Fisiología, Bioquímica y Biología Molecular del Estrés Abiótico en Plantas")</f>
        <v>1</v>
      </c>
      <c r="AA54" s="5">
        <f>COUNTIFS(   A4:A1440,"2021", D4:D1440,"Fisiología, Bioquímica y Biología Molecular del Estrés Abiótico en Plantas")</f>
        <v>1</v>
      </c>
      <c r="AB54" s="5">
        <f>COUNTIFS(  A4:A1440,"2022", D4:D1440,"Fisiología, Bioquímica y Biología Molecular del Estrés Abiótico en Plantas")</f>
        <v>0</v>
      </c>
      <c r="AC54" s="19">
        <f>COUNTIFS(   N4:N1440,"2018", D4:D1440,"Fisiología, Bioquímica y Biología Molecular del Estrés Abiótico en Plantas")</f>
        <v>0</v>
      </c>
      <c r="AD54" s="5">
        <f>COUNTIFS(   N4:N1440,"2019", D4:D1440,"Fisiología, Bioquímica y Biología Molecular del Estrés Abiótico en Plantas")</f>
        <v>1</v>
      </c>
      <c r="AE54" s="5">
        <f>COUNTIFS(   N4:N1440,"2020", D4:D1440,"Fisiología, Bioquímica y Biología Molecular del Estrés Abiótico en Plantas")</f>
        <v>1</v>
      </c>
      <c r="AF54" s="5">
        <f>COUNTIFS(   N4:N1440,"2021", D4:D1440,"Fisiología, Bioquímica y Biología Molecular del Estrés Abiótico en Plantas")</f>
        <v>2</v>
      </c>
      <c r="AG54" s="5">
        <f>COUNTIFS(   N4:N1440,"2022", D4:D1440,"Fisiología, Bioquímica y Biología Molecular del Estrés Abiótico en Plantas")</f>
        <v>0</v>
      </c>
      <c r="AH54" s="5">
        <f>COUNTIFS(   D4:D1440,"Fisiología, Bioquímica y Biología Molecular del Estrés Abiótico en Plantas",G4:G1440,"Sí")</f>
        <v>1</v>
      </c>
      <c r="AI54" s="5">
        <f>COUNTIFS(   D4:D1440,"Fisiología, Bioquímica y Biología Molecular del Estrés Abiótico en Plantas",G4:G1440,"No")</f>
        <v>3</v>
      </c>
      <c r="AJ54" s="5">
        <f>SUMIFS( E4:E1440, D4:D1440,"Fisiología, Bioquímica y Biología Molecular del Estrés Abiótico en Plantas",G4:G1440,"Sí")</f>
        <v>4</v>
      </c>
      <c r="AK54" s="5">
        <f>SUMIFS( E4:E1440, D4:D1440,"Fisiología, Bioquímica y Biología Molecular del Estrés Abiótico en Plantas",G4:G1440,"No")</f>
        <v>25</v>
      </c>
      <c r="AL54" s="5">
        <f>COUNTIFS(   D4:D1440,"Fisiología, Bioquímica y Biología Molecular del Estrés Abiótico en Plantas",H4:H1440,"Sí")</f>
        <v>4</v>
      </c>
      <c r="AM54" s="5">
        <f>COUNTIFS(   D4:D1440,"Fisiología, Bioquímica y Biología Molecular del Estrés Abiótico en Plantas",I4:I1440,"Sí")</f>
        <v>4</v>
      </c>
      <c r="AN54" s="5">
        <f>COUNTIFS(   D4:D1440,"Fisiología, Bioquímica y Biología Molecular del Estrés Abiótico en Plantas",I4:I1440,"No")</f>
        <v>0</v>
      </c>
      <c r="AO54" s="5">
        <f>SUMIFS( E4:E1440, D4:D1440,"Fisiología, Bioquímica y Biología Molecular del Estrés Abiótico en Plantas",I4:I1440,"Sí")</f>
        <v>29</v>
      </c>
      <c r="AP54" s="5">
        <f>SUMIFS( E4:E1440, D4:D1440,"Fisiología, Bioquímica y Biología Molecular del Estrés Abiótico en Plantas",I4:I1440,"No")</f>
        <v>0</v>
      </c>
      <c r="AQ54" s="5">
        <f>COUNTIFS(   D4:D1440,"Fisiología, Bioquímica y Biología Molecular del Estrés Abiótico en Plantas",J4:J1440,"Sí")</f>
        <v>4</v>
      </c>
      <c r="AR54" s="5">
        <f>COUNTIFS(   D4:D1440,"Fisiología, Bioquímica y Biología Molecular del Estrés Abiótico en Plantas",K4:K1440,"Sí")</f>
        <v>2</v>
      </c>
      <c r="AS54" s="5">
        <f>COUNTIFS(   D4:D1440,"Fisiología, Bioquímica y Biología Molecular del Estrés Abiótico en Plantas",L4:L1440,"Sí")</f>
        <v>0</v>
      </c>
      <c r="AT54" s="5">
        <f>SUMIFS( E4:E1440, D4:D1440,"Fisiología, Bioquímica y Biología Molecular del Estrés Abiótico en Plantas")</f>
        <v>29</v>
      </c>
      <c r="AU54" s="5">
        <f>SUMIFS( E4:E1440, F4:F1440,"Hombre", D4:D1440,"Fisiología, Bioquímica y Biología Molecular del Estrés Abiótico en Plantas")</f>
        <v>25</v>
      </c>
      <c r="AV54" s="5">
        <f>SUMIFS( E4:E1440, F4:F1440,"Mujer", D4:D1440,"Fisiología, Bioquímica y Biología Molecular del Estrés Abiótico en Plantas")</f>
        <v>4</v>
      </c>
      <c r="AW54" s="19">
        <f>SUMIFS( E4:E1440, A4:A1440,"2018", D4:D1440,"Fisiología, Bioquímica y Biología Molecular del Estrés Abiótico en Plantas")</f>
        <v>4</v>
      </c>
      <c r="AX54" s="5">
        <f>SUMIFS( E4:E1440, A4:A1440,"2019", D4:D1440,"Fisiología, Bioquímica y Biología Molecular del Estrés Abiótico en Plantas")</f>
        <v>2</v>
      </c>
      <c r="AY54" s="5">
        <f>SUMIFS( E4:E1440, A4:A1440,"2020", D4:D1440,"Fisiología, Bioquímica y Biología Molecular del Estrés Abiótico en Plantas")</f>
        <v>4</v>
      </c>
      <c r="AZ54" s="5">
        <f>SUMIFS( E4:E1440, A4:A1440,"2021", D4:D1440,"Fisiología, Bioquímica y Biología Molecular del Estrés Abiótico en Plantas")</f>
        <v>19</v>
      </c>
      <c r="BA54" s="5">
        <f>SUMIFS( E4:E1440, A4:A1440,"2022", D4:D1440,"Fisiología, Bioquímica y Biología Molecular del Estrés Abiótico en Plantas")</f>
        <v>0</v>
      </c>
      <c r="BB54" s="19">
        <f>SUMIFS( E4:E1440, N4:N1440,"2018", D4:D1440,"Fisiología, Bioquímica y Biología Molecular del Estrés Abiótico en Plantas")</f>
        <v>0</v>
      </c>
      <c r="BC54" s="5">
        <f>SUMIFS( E4:E1440, N4:N1440,"2019", D4:D1440,"Fisiología, Bioquímica y Biología Molecular del Estrés Abiótico en Plantas")</f>
        <v>4</v>
      </c>
      <c r="BD54" s="5">
        <f>SUMIFS( E4:E1440, N4:N1440,"2020", D4:D1440,"Fisiología, Bioquímica y Biología Molecular del Estrés Abiótico en Plantas")</f>
        <v>2</v>
      </c>
      <c r="BE54" s="5">
        <f>SUMIFS( E4:E1440, N4:N1440,"2021", D4:D1440,"Fisiología, Bioquímica y Biología Molecular del Estrés Abiótico en Plantas")</f>
        <v>23</v>
      </c>
      <c r="BF54" s="5">
        <f>SUMIFS( E4:E1440, N4:N1440,"2022", D4:D1440,"Fisiología, Bioquímica y Biología Molecular del Estrés Abiótico en Plantas")</f>
        <v>0</v>
      </c>
      <c r="BG54" s="14">
        <f>AVERAGEIFS( E4:E1440, D4:D1440,"Fisiología, Bioquímica y Biología Molecular del Estrés Abiótico en Plantas")</f>
        <v>7.25</v>
      </c>
      <c r="BH54" s="14">
        <v>0</v>
      </c>
      <c r="BI54" s="14">
        <f>AVERAGEIFS( E4:E1440, A4:A1440,"2019", D4:D1440,"Fisiología, Bioquímica y Biología Molecular del Estrés Abiótico en Plantas")</f>
        <v>2</v>
      </c>
      <c r="BJ54" s="14">
        <f>AVERAGEIFS( E4:E1440, A4:A1440,"2020", D4:D1440,"Fisiología, Bioquímica y Biología Molecular del Estrés Abiótico en Plantas")</f>
        <v>4</v>
      </c>
      <c r="BK54" s="14">
        <v>0</v>
      </c>
      <c r="BL54" s="37">
        <v>0</v>
      </c>
      <c r="BM54" s="14">
        <v>13.5</v>
      </c>
      <c r="BN54" s="14">
        <v>0</v>
      </c>
      <c r="BO54" s="14">
        <v>19</v>
      </c>
      <c r="BP54" s="14">
        <v>8</v>
      </c>
      <c r="BQ54" s="14">
        <v>0</v>
      </c>
      <c r="BR54" s="14">
        <v>0</v>
      </c>
    </row>
    <row r="55" spans="1:70" ht="15" customHeight="1">
      <c r="A55" s="24">
        <v>2018</v>
      </c>
      <c r="B55" s="24" t="s">
        <v>4</v>
      </c>
      <c r="C55" s="24" t="s">
        <v>203</v>
      </c>
      <c r="D55" s="24" t="s">
        <v>204</v>
      </c>
      <c r="E55" s="23">
        <v>14</v>
      </c>
      <c r="F55" s="24" t="s">
        <v>207</v>
      </c>
      <c r="G55" s="24" t="s">
        <v>225</v>
      </c>
      <c r="H55" s="23" t="s">
        <v>226</v>
      </c>
      <c r="I55" s="24" t="s">
        <v>226</v>
      </c>
      <c r="J55" s="23" t="s">
        <v>226</v>
      </c>
      <c r="K55" s="24" t="s">
        <v>226</v>
      </c>
      <c r="L55" s="23"/>
      <c r="M55" s="26" t="s">
        <v>268</v>
      </c>
      <c r="N55" s="24">
        <v>2018</v>
      </c>
      <c r="O55" s="67" t="s">
        <v>56</v>
      </c>
      <c r="P55" s="68"/>
      <c r="Q55" s="68"/>
      <c r="R55" s="68"/>
      <c r="S55" s="68"/>
      <c r="T55" s="69"/>
      <c r="U55" s="5">
        <f>COUNTIFS(   D4:D1440,"Genética y Genómica funcional y Evolutiva")</f>
        <v>7</v>
      </c>
      <c r="V55" s="5">
        <f>COUNTIFS(   D4:D1440,"Genética y Genómica funcional y Evolutiva",F4:F1440,"Hombre")</f>
        <v>4</v>
      </c>
      <c r="W55" s="5">
        <f>COUNTIFS(   D4:D1440,"Genética y Genómica funcional y Evolutiva",F4:F1440,"Mujer")</f>
        <v>3</v>
      </c>
      <c r="X55" s="19">
        <f>COUNTIFS(   A4:A1440,"2018", D4:D1440,"Genética y Genómica funcional y Evolutiva")</f>
        <v>1</v>
      </c>
      <c r="Y55" s="5">
        <f>COUNTIFS(   A4:A1440,"2019", D4:D1440,"Genética y Genómica funcional y Evolutiva")</f>
        <v>0</v>
      </c>
      <c r="Z55" s="5">
        <f>COUNTIFS(   A4:A1440,"2020", D4:D1440,"Genética y Genómica funcional y Evolutiva")</f>
        <v>3</v>
      </c>
      <c r="AA55" s="5">
        <f>COUNTIFS(   A4:A1440,"2021", D4:D1440,"Genética y Genómica funcional y Evolutiva")</f>
        <v>3</v>
      </c>
      <c r="AB55" s="5">
        <f>COUNTIFS(  A4:A1440,"2022", D4:D1440,"Genética y Genómica funcional y Evolutiva")</f>
        <v>0</v>
      </c>
      <c r="AC55" s="19">
        <f>COUNTIFS(   N4:N1440,"2018", D4:D1440,"Genética y Genómica funcional y Evolutiva")</f>
        <v>0</v>
      </c>
      <c r="AD55" s="5">
        <f>COUNTIFS(   N4:N1440,"2019", D4:D1440,"Genética y Genómica funcional y Evolutiva")</f>
        <v>1</v>
      </c>
      <c r="AE55" s="5">
        <f>COUNTIFS(   N4:N1440,"2020", D4:D1440,"Genética y Genómica funcional y Evolutiva")</f>
        <v>1</v>
      </c>
      <c r="AF55" s="5">
        <f>COUNTIFS(   N4:N1440,"2021", D4:D1440,"Genética y Genómica funcional y Evolutiva")</f>
        <v>4</v>
      </c>
      <c r="AG55" s="5">
        <f>COUNTIFS(   N4:N1440,"2022", D4:D1440,"Genética y Genómica funcional y Evolutiva")</f>
        <v>1</v>
      </c>
      <c r="AH55" s="5">
        <f>COUNTIFS(   D4:D1440,"Genética y Genómica funcional y Evolutiva",G4:G1440,"Sí")</f>
        <v>0</v>
      </c>
      <c r="AI55" s="5">
        <f>COUNTIFS(   D4:D1440,"Genética y Genómica funcional y Evolutiva",G4:G1440,"No")</f>
        <v>7</v>
      </c>
      <c r="AJ55" s="5">
        <f>SUMIFS( E4:E1440, D4:D1440,"Genética y Genómica funcional y Evolutiva",G4:G1440,"Sí")</f>
        <v>0</v>
      </c>
      <c r="AK55" s="5">
        <f>SUMIFS( E4:E1440, D4:D1440,"Genética y Genómica funcional y Evolutiva",G4:G1440,"No")</f>
        <v>31</v>
      </c>
      <c r="AL55" s="5">
        <f>COUNTIFS(   D4:D1440,"Genética y Genómica funcional y Evolutiva",H4:H1440,"Sí")</f>
        <v>6</v>
      </c>
      <c r="AM55" s="5">
        <f>COUNTIFS(   D4:D1440,"Genética y Genómica funcional y Evolutiva",I4:I1440,"Sí")</f>
        <v>4</v>
      </c>
      <c r="AN55" s="5">
        <f>COUNTIFS(   D4:D1440,"Genética y Genómica funcional y Evolutiva",I4:I1440,"No")</f>
        <v>3</v>
      </c>
      <c r="AO55" s="5">
        <f>SUMIFS( E4:E1440, D4:D1440,"Genética y Genómica funcional y Evolutiva",I4:I1440,"Sí")</f>
        <v>19</v>
      </c>
      <c r="AP55" s="5">
        <f>SUMIFS( E4:E1440, D4:D1440,"Genética y Genómica funcional y Evolutiva",I4:I1440,"No")</f>
        <v>12</v>
      </c>
      <c r="AQ55" s="5">
        <f>COUNTIFS(   D4:D1440,"Genética y Genómica funcional y Evolutiva",J4:J1440,"Sí")</f>
        <v>7</v>
      </c>
      <c r="AR55" s="5">
        <f>COUNTIFS(   D4:D1440,"Genética y Genómica funcional y Evolutiva",K4:K1440,"Sí")</f>
        <v>1</v>
      </c>
      <c r="AS55" s="5">
        <f>COUNTIFS(   D4:D1440,"Genética y Genómica funcional y Evolutiva",L4:L1440,"Sí")</f>
        <v>0</v>
      </c>
      <c r="AT55" s="5">
        <f>SUMIFS( E4:E1440, D4:D1440,"Genética y Genómica funcional y Evolutiva")</f>
        <v>31</v>
      </c>
      <c r="AU55" s="5">
        <f>SUMIFS( E4:E1440, F4:F1440,"Hombre", D4:D1440,"Genética y Genómica funcional y Evolutiva")</f>
        <v>7</v>
      </c>
      <c r="AV55" s="5">
        <f>SUMIFS( E4:E1440, F4:F1440,"Mujer", D4:D1440,"Genética y Genómica funcional y Evolutiva")</f>
        <v>24</v>
      </c>
      <c r="AW55" s="19">
        <f>SUMIFS( E4:E1440, A4:A1440,"2018", D4:D1440,"Genética y Genómica funcional y Evolutiva")</f>
        <v>0</v>
      </c>
      <c r="AX55" s="5">
        <f>SUMIFS( E4:E1440, A4:A1440,"2019", D4:D1440,"Genética y Genómica funcional y Evolutiva")</f>
        <v>0</v>
      </c>
      <c r="AY55" s="5">
        <f>SUMIFS( E4:E1440, A4:A1440,"2020", D4:D1440,"Genética y Genómica funcional y Evolutiva")</f>
        <v>24</v>
      </c>
      <c r="AZ55" s="5">
        <f>SUMIFS( E4:E1440, A4:A1440,"2021", D4:D1440,"Genética y Genómica funcional y Evolutiva")</f>
        <v>7</v>
      </c>
      <c r="BA55" s="5">
        <f>SUMIFS( E4:E1440, A4:A1440,"2022", D4:D1440,"Genética y Genómica funcional y Evolutiva")</f>
        <v>0</v>
      </c>
      <c r="BB55" s="19">
        <f>SUMIFS( E4:E1440, N4:N1440,"2018", D4:D1440,"Genética y Genómica funcional y Evolutiva")</f>
        <v>0</v>
      </c>
      <c r="BC55" s="5">
        <f>SUMIFS( E4:E1440, N4:N1440,"2019", D4:D1440,"Genética y Genómica funcional y Evolutiva")</f>
        <v>0</v>
      </c>
      <c r="BD55" s="5">
        <f>SUMIFS( E4:E1440, N4:N1440,"2020", D4:D1440,"Genética y Genómica funcional y Evolutiva")</f>
        <v>8</v>
      </c>
      <c r="BE55" s="5">
        <f>SUMIFS( E4:E1440, N4:N1440,"2021", D4:D1440,"Genética y Genómica funcional y Evolutiva")</f>
        <v>22</v>
      </c>
      <c r="BF55" s="5">
        <f>SUMIFS( E4:E1440, N4:N1440,"2022", D4:D1440,"Genética y Genómica funcional y Evolutiva")</f>
        <v>1</v>
      </c>
      <c r="BG55" s="14">
        <f>AVERAGEIFS( E4:E1440, D4:D1440,"Genética y Genómica funcional y Evolutiva")</f>
        <v>5.166666666666667</v>
      </c>
      <c r="BH55" s="14">
        <v>0</v>
      </c>
      <c r="BI55" s="14">
        <v>0</v>
      </c>
      <c r="BJ55" s="14">
        <f>AVERAGEIFS( E4:E1440, A4:A1440,"2020", D4:D1440,"Genética y Genómica funcional y Evolutiva")</f>
        <v>8</v>
      </c>
      <c r="BK55" s="14">
        <f>AVERAGEIFS( E4:E1440, A4:A1440,"2021", D4:D1440,"Genética y Genómica funcional y Evolutiva")</f>
        <v>2.3333333333333335</v>
      </c>
      <c r="BL55" s="37">
        <v>0</v>
      </c>
      <c r="BM55" s="14">
        <v>5.5</v>
      </c>
      <c r="BN55" s="14">
        <v>0</v>
      </c>
      <c r="BO55" s="14">
        <v>0</v>
      </c>
      <c r="BP55" s="14">
        <v>3</v>
      </c>
      <c r="BQ55" s="14">
        <v>8</v>
      </c>
      <c r="BR55" s="14">
        <v>0</v>
      </c>
    </row>
    <row r="56" spans="1:70" ht="15" customHeight="1">
      <c r="A56" s="24">
        <v>2018</v>
      </c>
      <c r="B56" s="24" t="s">
        <v>136</v>
      </c>
      <c r="C56" s="24" t="s">
        <v>137</v>
      </c>
      <c r="D56" s="24" t="s">
        <v>140</v>
      </c>
      <c r="E56" s="23">
        <v>9</v>
      </c>
      <c r="F56" s="24" t="s">
        <v>211</v>
      </c>
      <c r="G56" s="24" t="s">
        <v>225</v>
      </c>
      <c r="H56" s="23" t="s">
        <v>226</v>
      </c>
      <c r="I56" s="24" t="s">
        <v>226</v>
      </c>
      <c r="J56" s="23" t="s">
        <v>226</v>
      </c>
      <c r="K56" s="24" t="s">
        <v>226</v>
      </c>
      <c r="L56" s="23"/>
      <c r="M56" s="26" t="s">
        <v>268</v>
      </c>
      <c r="N56" s="24">
        <v>2018</v>
      </c>
      <c r="O56" s="51" t="s">
        <v>327</v>
      </c>
      <c r="P56" s="52"/>
      <c r="Q56" s="52"/>
      <c r="R56" s="52"/>
      <c r="S56" s="52"/>
      <c r="T56" s="53"/>
      <c r="U56" s="5">
        <f>COUNTIFS(   D4:D1440,"Geomicrobiología y Biogeoquímica")</f>
        <v>6</v>
      </c>
      <c r="V56" s="5">
        <f>COUNTIFS(   D4:D1440,"Geomicrobiología y Biogeoquímica",F4:F1440,"Hombre")</f>
        <v>2</v>
      </c>
      <c r="W56" s="5">
        <f>COUNTIFS(   D4:D1440,"Geomicrobiología y Biogeoquímica",F4:F1440,"Mujer")</f>
        <v>4</v>
      </c>
      <c r="X56" s="19">
        <f>COUNTIFS(   A4:A1440,"2018", D4:D1440,"Geomicrobiología y Biogeoquímica")</f>
        <v>1</v>
      </c>
      <c r="Y56" s="5">
        <f>COUNTIFS(   A4:A1440,"2019", D4:D1440,"Geomicrobiología y Biogeoquímica")</f>
        <v>3</v>
      </c>
      <c r="Z56" s="5">
        <f>COUNTIFS(   A4:A1440,"2020", D4:D1440,"Geomicrobiología y Biogeoquímica")</f>
        <v>1</v>
      </c>
      <c r="AA56" s="5">
        <f>COUNTIFS(   A4:A1440,"2021", D4:D1440,"Geomicrobiología y Biogeoquímica")</f>
        <v>1</v>
      </c>
      <c r="AB56" s="5">
        <f>COUNTIFS(  A4:A1440,"2022", D4:D1440,"Geomicrobiología y Biogeoquímica")</f>
        <v>0</v>
      </c>
      <c r="AC56" s="19">
        <f>COUNTIFS(   N4:N1440,"2018", D4:D1440,"Geomicrobiología y Biogeoquímica")</f>
        <v>0</v>
      </c>
      <c r="AD56" s="5">
        <f>COUNTIFS(   N4:N1440,"2019", D4:D1440,"Geomicrobiología y Biogeoquímica")</f>
        <v>3</v>
      </c>
      <c r="AE56" s="5">
        <f>COUNTIFS(   N4:N1440,"2020", D4:D1440,"Geomicrobiología y Biogeoquímica")</f>
        <v>1</v>
      </c>
      <c r="AF56" s="5">
        <f>COUNTIFS(   N4:N1440,"2021", D4:D1440,"Geomicrobiología y Biogeoquímica")</f>
        <v>2</v>
      </c>
      <c r="AG56" s="5">
        <f>COUNTIFS(   N4:N1440,"2022", D4:D1440,"Geomicrobiología y Biogeoquímica")</f>
        <v>0</v>
      </c>
      <c r="AH56" s="5">
        <f>COUNTIFS(   D4:D1440,"Geomicrobiología y Biogeoquímica",G4:G1440,"Sí")</f>
        <v>0</v>
      </c>
      <c r="AI56" s="5">
        <f>COUNTIFS(   D4:D1440,"Geomicrobiología y Biogeoquímica",G4:G1440,"No")</f>
        <v>6</v>
      </c>
      <c r="AJ56" s="5">
        <f>SUMIFS( E4:E1440, D4:D1440,"Geomicrobiología y Biogeoquímica",G4:G1440,"Sí")</f>
        <v>0</v>
      </c>
      <c r="AK56" s="5">
        <f>SUMIFS( E4:E1440, D4:D1440,"Geomicrobiología y Biogeoquímica",G4:G1440,"No")</f>
        <v>50</v>
      </c>
      <c r="AL56" s="5">
        <f>COUNTIFS(   D4:D1440,"Geomicrobiología y Biogeoquímica",H4:H1440,"Sí")</f>
        <v>6</v>
      </c>
      <c r="AM56" s="5">
        <f>COUNTIFS(   D4:D1440,"Geomicrobiología y Biogeoquímica",I4:I1440,"Sí")</f>
        <v>6</v>
      </c>
      <c r="AN56" s="5">
        <f>COUNTIFS(   D4:D1440,"Geomicrobiología y Biogeoquímica",I4:I1440,"No")</f>
        <v>0</v>
      </c>
      <c r="AO56" s="5">
        <f>SUMIFS( E4:E1440, D4:D1440,"Geomicrobiología y Biogeoquímica",I4:I1440,"Sí")</f>
        <v>50</v>
      </c>
      <c r="AP56" s="5">
        <f>SUMIFS( E4:E1440, D4:D1440,"Geomicrobiología y Biogeoquímica",I4:I1440,"No")</f>
        <v>0</v>
      </c>
      <c r="AQ56" s="5">
        <f>COUNTIFS(   D4:D1440,"Geomicrobiología y Biogeoquímica",J4:J1440,"Sí")</f>
        <v>6</v>
      </c>
      <c r="AR56" s="5">
        <f>COUNTIFS(   D4:D1440,"Geomicrobiología y Biogeoquímica",K4:K1440,"Sí")</f>
        <v>4</v>
      </c>
      <c r="AS56" s="5">
        <f>COUNTIFS(   D4:D1440,"Geomicrobiología y Biogeoquímica",L4:L1440,"Sí")</f>
        <v>0</v>
      </c>
      <c r="AT56" s="5">
        <f>SUMIFS( E4:E1440, D4:D1440,"Geomicrobiología y Biogeoquímica")</f>
        <v>50</v>
      </c>
      <c r="AU56" s="5">
        <f>SUMIFS( E4:E1440, F4:F1440,"Hombre", D4:D1440,"Geomicrobiología y Biogeoquímica")</f>
        <v>17</v>
      </c>
      <c r="AV56" s="5">
        <f>SUMIFS( E4:E1440, F4:F1440,"Mujer", D4:D1440,"Geomicrobiología y Biogeoquímica")</f>
        <v>33</v>
      </c>
      <c r="AW56" s="19">
        <f>SUMIFS( E4:E1440, A4:A1440,"2018", D4:D1440,"Geomicrobiología y Biogeoquímica")</f>
        <v>8</v>
      </c>
      <c r="AX56" s="5">
        <f>SUMIFS( E4:E1440, A4:A1440,"2019", D4:D1440,"Geomicrobiología y Biogeoquímica")</f>
        <v>25</v>
      </c>
      <c r="AY56" s="5">
        <f>SUMIFS( E4:E1440, A4:A1440,"2020", D4:D1440,"Geomicrobiología y Biogeoquímica")</f>
        <v>2</v>
      </c>
      <c r="AZ56" s="5">
        <f>SUMIFS( E4:E1440, A4:A1440,"2021", D4:D1440,"Geomicrobiología y Biogeoquímica")</f>
        <v>15</v>
      </c>
      <c r="BA56" s="5">
        <f>SUMIFS( E4:E1440, A4:A1440,"2022", D4:D1440,"Geomicrobiología y Biogeoquímica")</f>
        <v>0</v>
      </c>
      <c r="BB56" s="19">
        <f>SUMIFS( E4:E1440, N4:N1440,"2018", D4:D1440,"Geomicrobiología y Biogeoquímica")</f>
        <v>0</v>
      </c>
      <c r="BC56" s="5">
        <f>SUMIFS( E4:E1440, N4:N1440,"2019", D4:D1440,"Geomicrobiología y Biogeoquímica")</f>
        <v>29</v>
      </c>
      <c r="BD56" s="5">
        <f>SUMIFS( E4:E1440, N4:N1440,"2020", D4:D1440,"Geomicrobiología y Biogeoquímica")</f>
        <v>4</v>
      </c>
      <c r="BE56" s="5">
        <f>SUMIFS( E4:E1440, N4:N1440,"2021", D4:D1440,"Geomicrobiología y Biogeoquímica")</f>
        <v>17</v>
      </c>
      <c r="BF56" s="5">
        <f>SUMIFS( E4:E1440, N4:N1440,"2022", D4:D1440,"Geomicrobiología y Biogeoquímica")</f>
        <v>0</v>
      </c>
      <c r="BG56" s="14">
        <f>AVERAGEIFS( E4:E1440, D4:D1440,"Geomicrobiología y Biogeoquímica")</f>
        <v>8.3333333333333339</v>
      </c>
      <c r="BH56" s="14"/>
      <c r="BI56" s="14"/>
      <c r="BJ56" s="14"/>
      <c r="BK56" s="14"/>
      <c r="BL56" s="37"/>
      <c r="BM56" s="14"/>
      <c r="BN56" s="14"/>
      <c r="BO56" s="14"/>
      <c r="BP56" s="14"/>
      <c r="BQ56" s="14"/>
      <c r="BR56" s="14"/>
    </row>
    <row r="57" spans="1:70" ht="15" customHeight="1">
      <c r="A57" s="24">
        <v>2018</v>
      </c>
      <c r="B57" s="24" t="s">
        <v>78</v>
      </c>
      <c r="C57" s="24" t="s">
        <v>122</v>
      </c>
      <c r="D57" s="24" t="s">
        <v>123</v>
      </c>
      <c r="E57" s="23">
        <v>4</v>
      </c>
      <c r="F57" s="24" t="s">
        <v>207</v>
      </c>
      <c r="G57" s="24" t="s">
        <v>225</v>
      </c>
      <c r="H57" s="23" t="s">
        <v>226</v>
      </c>
      <c r="I57" s="24" t="s">
        <v>225</v>
      </c>
      <c r="J57" s="23" t="s">
        <v>226</v>
      </c>
      <c r="K57" s="24" t="s">
        <v>226</v>
      </c>
      <c r="L57" s="23"/>
      <c r="M57" s="26" t="s">
        <v>268</v>
      </c>
      <c r="N57" s="24">
        <v>2018</v>
      </c>
      <c r="O57" s="51" t="s">
        <v>383</v>
      </c>
      <c r="P57" s="52"/>
      <c r="Q57" s="52"/>
      <c r="R57" s="52"/>
      <c r="S57" s="52"/>
      <c r="T57" s="53"/>
      <c r="U57" s="5">
        <f>COUNTIFS(   D5:D1441,"Genética y Metagenómica de Microorganismos")</f>
        <v>2</v>
      </c>
      <c r="V57" s="5">
        <f>COUNTIFS(   D5:D1441,"Genética y Metagenómica de Microorganismos",F5:F1441,"Hombre")</f>
        <v>1</v>
      </c>
      <c r="W57" s="5">
        <f>COUNTIFS(   D5:D1441,"Genética y Metagenómica de Microorganismos",F5:F1441,"Mujer")</f>
        <v>1</v>
      </c>
      <c r="X57" s="19">
        <f>COUNTIFS(   A5:A1441,"2018", D5:D1441,"Genética y Metagenómica de Microorganismos")</f>
        <v>0</v>
      </c>
      <c r="Y57" s="5">
        <f>COUNTIFS(   A5:A1441,"2019", D5:D1441,"Genética y Metagenómica de Microorganismos")</f>
        <v>1</v>
      </c>
      <c r="Z57" s="5">
        <f>COUNTIFS(   A5:A1441,"2020", D5:D1441,"Genética y Metagenómica de Microorganismos")</f>
        <v>1</v>
      </c>
      <c r="AA57" s="5">
        <f>COUNTIFS(   A5:A1441,"2021", D5:D1441,"Genética y Metagenómica de Microorganismos")</f>
        <v>0</v>
      </c>
      <c r="AB57" s="5">
        <f>COUNTIFS(  A5:A1441,"2022", D5:D1441,"Genética y Metagenómica de Microorganismos")</f>
        <v>0</v>
      </c>
      <c r="AC57" s="19">
        <f>COUNTIFS(   N5:N1441,"2018", D5:D1441,"Genética y Metagenómica de Microorganismos")</f>
        <v>0</v>
      </c>
      <c r="AD57" s="5">
        <f>COUNTIFS(   N5:N1441,"2019", D5:D1441,"Genética y Metagenómica de Microorganismos")</f>
        <v>1</v>
      </c>
      <c r="AE57" s="5">
        <f>COUNTIFS(   N5:N1441,"2020", D5:D1441,"Genética y Metagenómica de Microorganismos")</f>
        <v>0</v>
      </c>
      <c r="AF57" s="5">
        <f>COUNTIFS(   N5:N1441,"2021", D5:D1441,"Genética y Metagenómica de Microorganismos")</f>
        <v>1</v>
      </c>
      <c r="AG57" s="5">
        <f>COUNTIFS(   N5:N1441,"2022", D5:D1441,"Genética y Metagenómica de Microorganismos")</f>
        <v>0</v>
      </c>
      <c r="AH57" s="5">
        <f>COUNTIFS(   D5:D1441,"Genética y Metagenómica de Microorganismos",G5:G1441,"Sí")</f>
        <v>0</v>
      </c>
      <c r="AI57" s="5">
        <f>COUNTIFS(   D5:D1441,"Genética y Metagenómica de Microorganismos",G5:G1441,"No")</f>
        <v>2</v>
      </c>
      <c r="AJ57" s="5">
        <f>SUMIFS( E5:E1441, D5:D1441,"Genética y Metagenómica de Microorganismos",G5:G1441,"Sí")</f>
        <v>0</v>
      </c>
      <c r="AK57" s="5">
        <f>SUMIFS( E5:E1441, D5:D1441,"Genética y Metagenómica de Microorganismos",G5:G1441,"No")</f>
        <v>7</v>
      </c>
      <c r="AL57" s="5">
        <f>COUNTIFS(   D5:D1441,"Genética y Metagenómica de Microorganismos",H5:H1441,"Sí")</f>
        <v>1</v>
      </c>
      <c r="AM57" s="5">
        <f>COUNTIFS(   D5:D1441,"Genética y Metagenómica de Microorganismos",I5:I1441,"Sí")</f>
        <v>2</v>
      </c>
      <c r="AN57" s="5">
        <f>COUNTIFS(   D5:D1441,"Genética y Metagenómica de Microorganismos",I5:I1441,"No")</f>
        <v>0</v>
      </c>
      <c r="AO57" s="5">
        <f>SUMIFS( E5:E1441, D5:D1441,"Genética y Metagenómica de Microorganismos",I5:I1441,"Sí")</f>
        <v>7</v>
      </c>
      <c r="AP57" s="5">
        <f>SUMIFS( E5:E1441, D5:D1441,"Genética y Metagenómica de Microorganismos",I5:I1441,"No")</f>
        <v>0</v>
      </c>
      <c r="AQ57" s="5">
        <f>COUNTIFS(   D5:D1441,"Genética y Metagenómica de Microorganismos",J5:J1441,"Sí")</f>
        <v>2</v>
      </c>
      <c r="AR57" s="5">
        <f>COUNTIFS(   D5:D1441,"Genética y Metagenómica de Microorganismos",K5:K1441,"Sí")</f>
        <v>1</v>
      </c>
      <c r="AS57" s="5">
        <f>COUNTIFS(   D5:D1441,"Genética y Metagenómica de Microorganismos",L5:L1441,"Sí")</f>
        <v>0</v>
      </c>
      <c r="AT57" s="5">
        <f>SUMIFS( E5:E1441, D5:D1441,"Genética y Metagenómica de Microorganismos")</f>
        <v>7</v>
      </c>
      <c r="AU57" s="5">
        <f>SUMIFS( E5:E1441, F5:F1441,"Hombre", D5:D1441,"Genética y Metagenómica de Microorganismos")</f>
        <v>7</v>
      </c>
      <c r="AV57" s="5">
        <f>SUMIFS( E5:E1441, F5:F1441,"Mujer", D5:D1441,"Genética y Metagenómica de Microorganismos")</f>
        <v>0</v>
      </c>
      <c r="AW57" s="19">
        <f>SUMIFS( E5:E1441, A5:A1441,"2018", D5:D1441,"Genética y Metagenómica de Microorganismos")</f>
        <v>0</v>
      </c>
      <c r="AX57" s="5">
        <f>SUMIFS( E5:E1441, A5:A1441,"2019", D5:D1441,"Genética y Metagenómica de Microorganismos")</f>
        <v>0</v>
      </c>
      <c r="AY57" s="5">
        <f>SUMIFS( E5:E1441, A5:A1441,"2020", D5:D1441,"Genética y Metagenómica de Microorganismos")</f>
        <v>7</v>
      </c>
      <c r="AZ57" s="5">
        <f>SUMIFS( E5:E1441, A5:A1441,"2021", D5:D1441,"Genética y Metagenómica de Microorganismos")</f>
        <v>0</v>
      </c>
      <c r="BA57" s="5">
        <f>SUMIFS( E5:E1441, A5:A1441,"2022", D5:D1441,"Genética y Metagenómica de Microorganismos")</f>
        <v>0</v>
      </c>
      <c r="BB57" s="19">
        <f>SUMIFS( E5:E1441, N5:N1441,"2018", D5:D1441,"Genética y Metagenómica de Microorganismos")</f>
        <v>0</v>
      </c>
      <c r="BC57" s="5">
        <f>SUMIFS( E5:E1441, N5:N1441,"2019", D5:D1441,"Genética y Metagenómica de Microorganismos")</f>
        <v>0</v>
      </c>
      <c r="BD57" s="5">
        <f>SUMIFS( E5:E1441, N5:N1441,"2020", D5:D1441,"Genética y Metagenómica de Microorganismos")</f>
        <v>0</v>
      </c>
      <c r="BE57" s="5">
        <f>SUMIFS( E5:E1441, N5:N1441,"2021", D5:D1441,"Genética y Metagenómica de Microorganismos")</f>
        <v>7</v>
      </c>
      <c r="BF57" s="5">
        <f>SUMIFS( E5:E1441, N5:N1441,"2022", D5:D1441,"Genética y Metagenómica de Microorganismos")</f>
        <v>0</v>
      </c>
      <c r="BG57" s="14">
        <f>AVERAGEIFS( E5:E1441, D5:D1441,"Genética y Metagenómica de Microorganismos")</f>
        <v>7</v>
      </c>
      <c r="BH57" s="14"/>
      <c r="BI57" s="14"/>
      <c r="BJ57" s="14"/>
      <c r="BK57" s="14"/>
      <c r="BL57" s="37"/>
      <c r="BM57" s="14"/>
      <c r="BN57" s="14"/>
      <c r="BO57" s="14"/>
      <c r="BP57" s="14"/>
      <c r="BQ57" s="14"/>
      <c r="BR57" s="14"/>
    </row>
    <row r="58" spans="1:70" ht="15" customHeight="1">
      <c r="A58" s="24">
        <v>2018</v>
      </c>
      <c r="B58" s="24" t="s">
        <v>78</v>
      </c>
      <c r="C58" s="24" t="s">
        <v>681</v>
      </c>
      <c r="D58" s="24" t="s">
        <v>269</v>
      </c>
      <c r="E58" s="23">
        <v>1</v>
      </c>
      <c r="F58" s="24" t="s">
        <v>207</v>
      </c>
      <c r="G58" s="24" t="s">
        <v>225</v>
      </c>
      <c r="H58" s="23" t="s">
        <v>226</v>
      </c>
      <c r="I58" s="24" t="s">
        <v>226</v>
      </c>
      <c r="J58" s="23" t="s">
        <v>226</v>
      </c>
      <c r="K58" s="24" t="s">
        <v>226</v>
      </c>
      <c r="L58" s="23"/>
      <c r="M58" s="26" t="s">
        <v>270</v>
      </c>
      <c r="N58" s="24">
        <v>2018</v>
      </c>
      <c r="O58" s="67" t="s">
        <v>57</v>
      </c>
      <c r="P58" s="68"/>
      <c r="Q58" s="68"/>
      <c r="R58" s="68"/>
      <c r="S58" s="68"/>
      <c r="T58" s="69"/>
      <c r="U58" s="5">
        <f>COUNTIFS(   D4:D1440,"Metabolismo de nutrientes y energía de especies pecuarias")</f>
        <v>1</v>
      </c>
      <c r="V58" s="5">
        <f>COUNTIFS(   D4:D1440,"Metabolismo de nutrientes y energía de especies pecuarias",F4:F1440,"Hombre")</f>
        <v>1</v>
      </c>
      <c r="W58" s="5">
        <f>COUNTIFS(   D4:D1440,"Metabolismo de nutrientes y energía de especies pecuarias",F4:F1440,"Mujer")</f>
        <v>0</v>
      </c>
      <c r="X58" s="19">
        <f>COUNTIFS(   A4:A1440,"2018", D4:D1440,"Metabolismo de nutrientes y energía de especies pecuarias")</f>
        <v>0</v>
      </c>
      <c r="Y58" s="5">
        <f>COUNTIFS(   A4:A1440,"2019", D4:D1440,"Metabolismo de nutrientes y energía de especies pecuarias")</f>
        <v>0</v>
      </c>
      <c r="Z58" s="5">
        <f>COUNTIFS(   A4:A1440,"2020", D4:D1440,"Metabolismo de nutrientes y energía de especies pecuarias")</f>
        <v>0</v>
      </c>
      <c r="AA58" s="5">
        <f>COUNTIFS(   A4:A1440,"2021", D4:D1440,"Metabolismo de nutrientes y energía de especies pecuarias")</f>
        <v>1</v>
      </c>
      <c r="AB58" s="5">
        <f>COUNTIFS(  A4:A1440,"2022", D4:D1440,"Metabolismo de nutrientes y energía de especies pecuarias")</f>
        <v>0</v>
      </c>
      <c r="AC58" s="19">
        <f>COUNTIFS(   N4:N1440,"2018", D4:D1440,"Metabolismo de nutrientes y energía de especies pecuarias")</f>
        <v>0</v>
      </c>
      <c r="AD58" s="5">
        <f>COUNTIFS(   N4:N1440,"2019", D4:D1440,"Metabolismo de nutrientes y energía de especies pecuarias")</f>
        <v>0</v>
      </c>
      <c r="AE58" s="5">
        <f>COUNTIFS(   N4:N1440,"2020", D4:D1440,"Metabolismo de nutrientes y energía de especies pecuarias")</f>
        <v>0</v>
      </c>
      <c r="AF58" s="5">
        <f>COUNTIFS(   N4:N1440,"2021", D4:D1440,"Metabolismo de nutrientes y energía de especies pecuarias")</f>
        <v>0</v>
      </c>
      <c r="AG58" s="5">
        <f>COUNTIFS(   N4:N1440,"2022", D4:D1440,"Metabolismo de nutrientes y energía de especies pecuarias")</f>
        <v>1</v>
      </c>
      <c r="AH58" s="5">
        <f>COUNTIFS(   D4:D1440,"Metabolismo de nutrientes y energía de especies pecuarias",G4:G1440,"Sí")</f>
        <v>0</v>
      </c>
      <c r="AI58" s="5">
        <f>COUNTIFS(   D4:D1440,"Metabolismo de nutrientes y energía de especies pecuarias",G4:G1440,"No")</f>
        <v>1</v>
      </c>
      <c r="AJ58" s="5">
        <f>SUMIFS( E4:E1440, D4:D1440,"Metabolismo de nutrientes y energía de especies pecuarias",G4:G1440,"Sí")</f>
        <v>0</v>
      </c>
      <c r="AK58" s="5">
        <f>SUMIFS( E4:E1440, D4:D1440,"Metabolismo de nutrientes y energía de especies pecuarias",G4:G1440,"No")</f>
        <v>1</v>
      </c>
      <c r="AL58" s="5">
        <f>COUNTIFS(   D4:D1440,"Metabolismo de nutrientes y energía de especies pecuarias",H4:H1440,"Sí")</f>
        <v>1</v>
      </c>
      <c r="AM58" s="5">
        <f>COUNTIFS(   D4:D1440,"Metabolismo de nutrientes y energía de especies pecuarias",I4:I1440,"Sí")</f>
        <v>1</v>
      </c>
      <c r="AN58" s="5">
        <f>COUNTIFS(   D4:D1440,"Metabolismo de nutrientes y energía de especies pecuarias",I4:I1440,"No")</f>
        <v>0</v>
      </c>
      <c r="AO58" s="5">
        <f>SUMIFS( E4:E1440, D4:D1440,"Metabolismo de nutrientes y energía de especies pecuarias",I4:I1440,"Sí")</f>
        <v>1</v>
      </c>
      <c r="AP58" s="5">
        <f>SUMIFS( E4:E1440, D4:D1440,"Metabolismo de nutrientes y energía de especies pecuarias",I4:I1440,"No")</f>
        <v>0</v>
      </c>
      <c r="AQ58" s="5">
        <f>COUNTIFS(   D4:D1440,"Metabolismo de nutrientes y energía de especies pecuarias",J4:J1440,"Sí")</f>
        <v>1</v>
      </c>
      <c r="AR58" s="5">
        <f>COUNTIFS(   D4:D1440,"Metabolismo de nutrientes y energía de especies pecuarias",K4:K1440,"Sí")</f>
        <v>0</v>
      </c>
      <c r="AS58" s="5">
        <f>COUNTIFS(   D4:D1440,"Metabolismo de nutrientes y energía de especies pecuarias",L4:L1440,"Sí")</f>
        <v>0</v>
      </c>
      <c r="AT58" s="5">
        <f>SUMIFS( E4:E1440, D4:D1440,"Metabolismo de nutrientes y energía de especies pecuarias")</f>
        <v>1</v>
      </c>
      <c r="AU58" s="5">
        <f>SUMIFS( E4:E1440, F4:F1440,"Hombre", D4:D1440,"Metabolismo de nutrientes y energía de especies pecuarias")</f>
        <v>1</v>
      </c>
      <c r="AV58" s="5">
        <f>SUMIFS( E4:E1440, F4:F1440,"Mujer", D4:D1440,"Metabolismo de nutrientes y energía de especies pecuarias")</f>
        <v>0</v>
      </c>
      <c r="AW58" s="19">
        <f>SUMIFS( E4:E1440, A4:A1440,"2018", D4:D1440,"Metabolismo de nutrientes y energía de especies pecuarias")</f>
        <v>0</v>
      </c>
      <c r="AX58" s="5">
        <f>SUMIFS( E4:E1440, A4:A1440,"2019", D4:D1440,"Metabolismo de nutrientes y energía de especies pecuarias")</f>
        <v>0</v>
      </c>
      <c r="AY58" s="5">
        <f>SUMIFS( E4:E1440, A4:A1440,"2020", D4:D1440,"Metabolismo de nutrientes y energía de especies pecuarias")</f>
        <v>0</v>
      </c>
      <c r="AZ58" s="5">
        <f>SUMIFS( E4:E1440, A4:A1440,"2021", D4:D1440,"Metabolismo de nutrientes y energía de especies pecuarias")</f>
        <v>1</v>
      </c>
      <c r="BA58" s="5">
        <f>SUMIFS( E4:E1440, A4:A1440,"2022", D4:D1440,"Metabolismo de nutrientes y energía de especies pecuarias")</f>
        <v>0</v>
      </c>
      <c r="BB58" s="19">
        <f>SUMIFS( E4:E1440, N4:N1440,"2018", D4:D1440,"Metabolismo de nutrientes y energía de especies pecuarias")</f>
        <v>0</v>
      </c>
      <c r="BC58" s="5">
        <f>SUMIFS( E4:E1440, N4:N1440,"2019", D4:D1440,"Metabolismo de nutrientes y energía de especies pecuarias")</f>
        <v>0</v>
      </c>
      <c r="BD58" s="5">
        <f>SUMIFS( E4:E1440, N4:N1440,"2020", D4:D1440,"Metabolismo de nutrientes y energía de especies pecuarias")</f>
        <v>0</v>
      </c>
      <c r="BE58" s="5">
        <f>SUMIFS( E4:E1440, N4:N1440,"2021", D4:D1440,"Metabolismo de nutrientes y energía de especies pecuarias")</f>
        <v>0</v>
      </c>
      <c r="BF58" s="5">
        <f>SUMIFS( E4:E1440, N4:N1440,"2022", D4:D1440,"Metabolismo de nutrientes y energía de especies pecuarias")</f>
        <v>1</v>
      </c>
      <c r="BG58" s="14">
        <f>AVERAGEIFS( E4:E1440, D4:D1440,"Metabolismo de nutrientes y energía de especies pecuarias")</f>
        <v>1</v>
      </c>
      <c r="BH58" s="14">
        <v>0</v>
      </c>
      <c r="BI58" s="14">
        <v>0</v>
      </c>
      <c r="BJ58" s="14">
        <v>0</v>
      </c>
      <c r="BK58" s="14">
        <v>0</v>
      </c>
      <c r="BL58" s="37" t="e">
        <f>AVERAGEIFS( E4:E1440, A4:A1440,"2022", D4:D1440,"Metabolismo de nutrientes y energía de especies pecuarias")</f>
        <v>#DIV/0!</v>
      </c>
      <c r="BM58" s="14">
        <v>5</v>
      </c>
      <c r="BN58" s="14">
        <v>0</v>
      </c>
      <c r="BO58" s="14">
        <v>0</v>
      </c>
      <c r="BP58" s="14">
        <v>0</v>
      </c>
      <c r="BQ58" s="14">
        <v>0</v>
      </c>
      <c r="BR58" s="14">
        <v>5</v>
      </c>
    </row>
    <row r="59" spans="1:70" ht="15" customHeight="1">
      <c r="A59" s="24">
        <v>2018</v>
      </c>
      <c r="B59" s="24" t="s">
        <v>78</v>
      </c>
      <c r="C59" s="24" t="s">
        <v>681</v>
      </c>
      <c r="D59" s="24"/>
      <c r="E59" s="23"/>
      <c r="F59" s="24" t="s">
        <v>207</v>
      </c>
      <c r="G59" s="24" t="s">
        <v>225</v>
      </c>
      <c r="H59" s="23" t="s">
        <v>226</v>
      </c>
      <c r="I59" s="24" t="s">
        <v>225</v>
      </c>
      <c r="J59" s="23" t="s">
        <v>226</v>
      </c>
      <c r="K59" s="24" t="s">
        <v>226</v>
      </c>
      <c r="L59" s="23"/>
      <c r="M59" s="26" t="s">
        <v>271</v>
      </c>
      <c r="N59" s="24">
        <v>2018</v>
      </c>
      <c r="O59" s="67" t="s">
        <v>58</v>
      </c>
      <c r="P59" s="68"/>
      <c r="Q59" s="68"/>
      <c r="R59" s="68"/>
      <c r="S59" s="68"/>
      <c r="T59" s="69"/>
      <c r="U59" s="5">
        <f>COUNTIFS(   D4:D1440,"Microbiología ambiental")</f>
        <v>2</v>
      </c>
      <c r="V59" s="5">
        <f>COUNTIFS(   D4:D1440,"Microbiología ambiental",F4:F1440,"Hombre")</f>
        <v>1</v>
      </c>
      <c r="W59" s="5">
        <f>COUNTIFS(   D4:D1440,"Microbiología ambiental",F4:F1440,"Mujer")</f>
        <v>1</v>
      </c>
      <c r="X59" s="19">
        <f>COUNTIFS(   A4:A1440,"2018", D4:D1440,"Microbiología ambiental")</f>
        <v>1</v>
      </c>
      <c r="Y59" s="5">
        <f>COUNTIFS(   A4:A1440,"2019", D4:D1440,"Microbiología ambiental")</f>
        <v>1</v>
      </c>
      <c r="Z59" s="5">
        <f>COUNTIFS(   A4:A1440,"2020", D4:D1440,"Microbiología ambiental")</f>
        <v>0</v>
      </c>
      <c r="AA59" s="5">
        <f>COUNTIFS(   A4:A1440,"2021", D4:D1440,"Microbiología ambiental")</f>
        <v>0</v>
      </c>
      <c r="AB59" s="5">
        <f>COUNTIFS(  A4:A1440,"2022", D4:D1440,"Microbiología ambiental")</f>
        <v>0</v>
      </c>
      <c r="AC59" s="19">
        <f>COUNTIFS(   N4:N1440,"2018", D4:D1440,"Microbiología ambiental")</f>
        <v>0</v>
      </c>
      <c r="AD59" s="5">
        <f>COUNTIFS(   N4:N1440,"2019", D4:D1440,"Microbiología ambiental")</f>
        <v>1</v>
      </c>
      <c r="AE59" s="5">
        <f>COUNTIFS(   N4:N1440,"2020", D4:D1440,"Microbiología ambiental")</f>
        <v>1</v>
      </c>
      <c r="AF59" s="5">
        <f>COUNTIFS(   N4:N1440,"2021", D4:D1440,"Microbiología ambiental")</f>
        <v>0</v>
      </c>
      <c r="AG59" s="5">
        <f>COUNTIFS(   N4:N1440,"2022", D4:D1440,"Microbiología ambiental")</f>
        <v>0</v>
      </c>
      <c r="AH59" s="5">
        <f>COUNTIFS(   D4:D1440,"Microbiología ambiental",G4:G1440,"Sí")</f>
        <v>0</v>
      </c>
      <c r="AI59" s="5">
        <f>COUNTIFS(   D4:D1440,"Microbiología ambiental",G4:G1440,"No")</f>
        <v>2</v>
      </c>
      <c r="AJ59" s="5">
        <f>SUMIFS( E4:E1440, D4:D1440,"Microbiología ambiental",G4:G1440,"Sí")</f>
        <v>0</v>
      </c>
      <c r="AK59" s="5">
        <f>SUMIFS( E4:E1440, D4:D1440,"Microbiología ambiental",G4:G1440,"No")</f>
        <v>68</v>
      </c>
      <c r="AL59" s="5">
        <f>COUNTIFS(   D4:D1440,"Microbiología ambiental",H4:H1440,"Sí")</f>
        <v>2</v>
      </c>
      <c r="AM59" s="5">
        <f>COUNTIFS(   D4:D1440,"Microbiología ambiental",I4:I1440,"Sí")</f>
        <v>2</v>
      </c>
      <c r="AN59" s="5">
        <f>COUNTIFS(   D4:D1440,"Microbiología ambiental",I4:I1440,"No")</f>
        <v>0</v>
      </c>
      <c r="AO59" s="5">
        <f>SUMIFS( E4:E1440, D4:D1440,"Microbiología ambiental",I4:I1440,"Sí")</f>
        <v>68</v>
      </c>
      <c r="AP59" s="5">
        <f>SUMIFS( E4:E1440, D4:D1440,"Microbiología ambiental",I4:I1440,"No")</f>
        <v>0</v>
      </c>
      <c r="AQ59" s="5">
        <f>COUNTIFS(   D4:D1440,"Microbiología ambiental",J4:J1440,"Sí")</f>
        <v>2</v>
      </c>
      <c r="AR59" s="5">
        <f>COUNTIFS(   D4:D1440,"Microbiología ambiental",K4:K1440,"Sí")</f>
        <v>1</v>
      </c>
      <c r="AS59" s="5">
        <f>COUNTIFS(   D4:D1440,"Microbiología ambiental",L4:L1440,"Sí")</f>
        <v>0</v>
      </c>
      <c r="AT59" s="5">
        <f>SUMIFS( E4:E1440, D4:D1440,"Microbiología ambiental")</f>
        <v>68</v>
      </c>
      <c r="AU59" s="5">
        <f>SUMIFS( E4:E1440, F4:F1440,"Hombre", D4:D1440,"Microbiología ambiental")</f>
        <v>37</v>
      </c>
      <c r="AV59" s="5">
        <f>SUMIFS( E4:E1440, F4:F1440,"Mujer", D4:D1440,"Microbiología ambiental")</f>
        <v>31</v>
      </c>
      <c r="AW59" s="19">
        <f>SUMIFS( E4:E1440, A4:A1440,"2018", D4:D1440,"Microbiología ambiental")</f>
        <v>37</v>
      </c>
      <c r="AX59" s="5">
        <f>SUMIFS( E4:E1440, A4:A1440,"2019", D4:D1440,"Microbiología ambiental")</f>
        <v>31</v>
      </c>
      <c r="AY59" s="5">
        <f>SUMIFS( E4:E1440, A4:A1440,"2020", D4:D1440,"Microbiología ambiental")</f>
        <v>0</v>
      </c>
      <c r="AZ59" s="5">
        <f>SUMIFS( E4:E1440, A4:A1440,"2021", D4:D1440,"Microbiología ambiental")</f>
        <v>0</v>
      </c>
      <c r="BA59" s="5">
        <f>SUMIFS( E4:E1440, A4:A1440,"2022", D4:D1440,"Microbiología ambiental")</f>
        <v>0</v>
      </c>
      <c r="BB59" s="19">
        <f>SUMIFS( E4:E1440, N4:N1440,"2018", D4:D1440,"Microbiología ambiental")</f>
        <v>0</v>
      </c>
      <c r="BC59" s="5">
        <f>SUMIFS( E4:E1440, N4:N1440,"2019", D4:D1440,"Microbiología ambiental")</f>
        <v>37</v>
      </c>
      <c r="BD59" s="5">
        <f>SUMIFS( E4:E1440, N4:N1440,"2020", D4:D1440,"Microbiología ambiental")</f>
        <v>31</v>
      </c>
      <c r="BE59" s="5">
        <f>SUMIFS( E4:E1440, N4:N1440,"2021", D4:D1440,"Microbiología ambiental")</f>
        <v>0</v>
      </c>
      <c r="BF59" s="5">
        <f>SUMIFS( E4:E1440, N4:N1440,"2022", D4:D1440,"Microbiología ambiental")</f>
        <v>0</v>
      </c>
      <c r="BG59" s="14">
        <f>AVERAGEIFS( E4:E1440, D4:D1440,"Microbiología ambiental")</f>
        <v>34</v>
      </c>
      <c r="BH59" s="14">
        <v>0</v>
      </c>
      <c r="BI59" s="14">
        <v>0</v>
      </c>
      <c r="BJ59" s="14" t="e">
        <f>AVERAGEIFS( E4:E1440, A4:A1440,"2020", D4:D1440,"Microbiología ambiental")</f>
        <v>#DIV/0!</v>
      </c>
      <c r="BK59" s="14" t="e">
        <f>AVERAGEIFS( E4:E1440, A4:A1440,"2021", D4:D1440,"Microbiología ambiental")</f>
        <v>#DIV/0!</v>
      </c>
      <c r="BL59" s="37" t="e">
        <f>AVERAGEIFS( E4:E1440, A4:A1440,"2022", D4:D1440,"Microbiología ambiental")</f>
        <v>#DIV/0!</v>
      </c>
      <c r="BM59" s="14">
        <v>7.666666666666667</v>
      </c>
      <c r="BN59" s="14">
        <v>0</v>
      </c>
      <c r="BO59" s="14">
        <v>0</v>
      </c>
      <c r="BP59" s="14">
        <v>14</v>
      </c>
      <c r="BQ59" s="14">
        <v>4</v>
      </c>
      <c r="BR59" s="14">
        <v>5</v>
      </c>
    </row>
    <row r="60" spans="1:70" ht="15" customHeight="1">
      <c r="A60" s="24">
        <v>2018</v>
      </c>
      <c r="B60" s="24" t="s">
        <v>4</v>
      </c>
      <c r="C60" s="24" t="s">
        <v>203</v>
      </c>
      <c r="D60" s="24" t="s">
        <v>42</v>
      </c>
      <c r="E60" s="23">
        <v>3</v>
      </c>
      <c r="F60" s="24" t="s">
        <v>211</v>
      </c>
      <c r="G60" s="24" t="s">
        <v>225</v>
      </c>
      <c r="H60" s="23" t="s">
        <v>226</v>
      </c>
      <c r="I60" s="24" t="s">
        <v>226</v>
      </c>
      <c r="J60" s="23" t="s">
        <v>226</v>
      </c>
      <c r="K60" s="24" t="s">
        <v>226</v>
      </c>
      <c r="L60" s="23"/>
      <c r="M60" s="26" t="s">
        <v>272</v>
      </c>
      <c r="N60" s="24">
        <v>2018</v>
      </c>
      <c r="O60" s="51" t="s">
        <v>370</v>
      </c>
      <c r="P60" s="52"/>
      <c r="Q60" s="52"/>
      <c r="R60" s="52"/>
      <c r="S60" s="52"/>
      <c r="T60" s="53"/>
      <c r="U60" s="5">
        <f>COUNTIFS(   D5:D1441,"Neurobiología")</f>
        <v>1</v>
      </c>
      <c r="V60" s="5">
        <f>COUNTIFS(   D5:D1441,"Neurobiología",F5:F1441,"Hombre")</f>
        <v>0</v>
      </c>
      <c r="W60" s="5">
        <f>COUNTIFS(   D5:D1441,"Neurobiología",F5:F1441,"Mujer")</f>
        <v>1</v>
      </c>
      <c r="X60" s="19">
        <f>COUNTIFS(   A5:A1441,"2018", D5:D1441,"Neurobiología")</f>
        <v>0</v>
      </c>
      <c r="Y60" s="5">
        <f>COUNTIFS(   A5:A1441,"2019", D5:D1441,"Neurobiología")</f>
        <v>1</v>
      </c>
      <c r="Z60" s="5">
        <f>COUNTIFS(   A5:A1441,"2020", D5:D1441,"Neurobiología")</f>
        <v>0</v>
      </c>
      <c r="AA60" s="5">
        <f>COUNTIFS(   A5:A1441,"2021", D5:D1441,"Neurobiología")</f>
        <v>0</v>
      </c>
      <c r="AB60" s="5">
        <f>COUNTIFS(  A5:A1441,"2022", D5:D1441,"Neurobiología")</f>
        <v>0</v>
      </c>
      <c r="AC60" s="19">
        <f>COUNTIFS(   N5:N1441,"2018", D5:D1441,"Neurobiología")</f>
        <v>0</v>
      </c>
      <c r="AD60" s="5">
        <f>COUNTIFS(   N5:N1441,"2019", D5:D1441,"Neurobiología")</f>
        <v>1</v>
      </c>
      <c r="AE60" s="5">
        <f>COUNTIFS(   N5:N1441,"2020", D5:D1441,"Neurobiología")</f>
        <v>0</v>
      </c>
      <c r="AF60" s="5">
        <f>COUNTIFS(   N5:N1441,"2021", D5:D1441,"Neurobiología")</f>
        <v>0</v>
      </c>
      <c r="AG60" s="5">
        <f>COUNTIFS(   N5:N1441,"2022", D5:D1441,"Neurobiología")</f>
        <v>0</v>
      </c>
      <c r="AH60" s="5">
        <f>COUNTIFS(   D5:D1441,"Neurobiología",G5:G1441,"Sí")</f>
        <v>0</v>
      </c>
      <c r="AI60" s="5">
        <f>COUNTIFS(   D5:D1441,"Neurobiología",G5:G1441,"No")</f>
        <v>1</v>
      </c>
      <c r="AJ60" s="5">
        <f>SUMIFS( E5:E1441, D5:D1441,"Neurobiología",G5:G1441,"Sí")</f>
        <v>0</v>
      </c>
      <c r="AK60" s="5">
        <f>SUMIFS( E5:E1441, D5:D1441,"Neurobiología",G5:G1441,"No")</f>
        <v>8</v>
      </c>
      <c r="AL60" s="5">
        <f>COUNTIFS(   D5:D1441,"Neurobiología",H5:H1441,"Sí")</f>
        <v>1</v>
      </c>
      <c r="AM60" s="5">
        <f>COUNTIFS(   D5:D1441,"Neurobiología",I5:I1441,"Sí")</f>
        <v>1</v>
      </c>
      <c r="AN60" s="5">
        <f>COUNTIFS(   D5:D1441,"Neurobiología",I5:I1441,"No")</f>
        <v>0</v>
      </c>
      <c r="AO60" s="5">
        <f>SUMIFS( E5:E1441, D5:D1441,"Neurobiología",I5:I1441,"Sí")</f>
        <v>8</v>
      </c>
      <c r="AP60" s="5">
        <f>SUMIFS( E5:E1441, D5:D1441,"Neurobiología",I5:I1441,"No")</f>
        <v>0</v>
      </c>
      <c r="AQ60" s="5">
        <f>COUNTIFS(   D5:D1441,"Neurobiología",J5:J1441,"Sí")</f>
        <v>1</v>
      </c>
      <c r="AR60" s="5">
        <f>COUNTIFS(   D5:D1441,"Neurobiología",K5:K1441,"Sí")</f>
        <v>1</v>
      </c>
      <c r="AS60" s="5">
        <f>COUNTIFS(   D5:D1441,"Neurobiología",L5:L1441,"Sí")</f>
        <v>0</v>
      </c>
      <c r="AT60" s="5">
        <f>SUMIFS( E5:E1441, D5:D1441,"Neurobiología")</f>
        <v>8</v>
      </c>
      <c r="AU60" s="5">
        <f>SUMIFS( E5:E1441, F5:F1441,"Hombre", D5:D1441,"Neurobiología")</f>
        <v>0</v>
      </c>
      <c r="AV60" s="5">
        <f>SUMIFS( E5:E1441, F5:F1441,"Mujer", D5:D1441,"Neurobiología")</f>
        <v>8</v>
      </c>
      <c r="AW60" s="19">
        <f>SUMIFS( E5:E1441, A5:A1441,"2018", D5:D1441,"Neurobiología")</f>
        <v>0</v>
      </c>
      <c r="AX60" s="5">
        <f>SUMIFS( E5:E1441, A5:A1441,"2019", D5:D1441,"Neurobiología")</f>
        <v>8</v>
      </c>
      <c r="AY60" s="5">
        <f>SUMIFS( E5:E1441, A5:A1441,"2020", D5:D1441,"Neurobiología")</f>
        <v>0</v>
      </c>
      <c r="AZ60" s="5">
        <f>SUMIFS( E5:E1441, A5:A1441,"2021", D5:D1441,"Neurobiología")</f>
        <v>0</v>
      </c>
      <c r="BA60" s="5">
        <f>SUMIFS( E5:E1441, A5:A1441,"2022", D5:D1441,"Neurobiología")</f>
        <v>0</v>
      </c>
      <c r="BB60" s="19">
        <f>SUMIFS( E5:E1441, N5:N1441,"2018", D5:D1441,"Neurobiología")</f>
        <v>0</v>
      </c>
      <c r="BC60" s="5">
        <f>SUMIFS( E5:E1441, N5:N1441,"2019", D5:D1441,"Neurobiología")</f>
        <v>8</v>
      </c>
      <c r="BD60" s="5">
        <f>SUMIFS( E5:E1441, N5:N1441,"2020", D5:D1441,"Neurobiología")</f>
        <v>0</v>
      </c>
      <c r="BE60" s="5">
        <f>SUMIFS( E5:E1441, N5:N1441,"2021", D5:D1441,"Neurobiología")</f>
        <v>0</v>
      </c>
      <c r="BF60" s="5">
        <f>SUMIFS( E5:E1441, N5:N1441,"2022", D5:D1441,"Neurobiología")</f>
        <v>0</v>
      </c>
      <c r="BG60" s="14">
        <f>AVERAGEIFS( E5:E1441, D5:D1441,"Neurobiología")</f>
        <v>8</v>
      </c>
      <c r="BH60" s="14"/>
      <c r="BI60" s="14"/>
      <c r="BJ60" s="14"/>
      <c r="BK60" s="14"/>
      <c r="BL60" s="37"/>
      <c r="BM60" s="14"/>
      <c r="BN60" s="14"/>
      <c r="BO60" s="14"/>
      <c r="BP60" s="14"/>
      <c r="BQ60" s="14"/>
      <c r="BR60" s="14"/>
    </row>
    <row r="61" spans="1:70" ht="15" customHeight="1">
      <c r="A61" s="24">
        <v>2018</v>
      </c>
      <c r="B61" s="24" t="s">
        <v>4</v>
      </c>
      <c r="C61" s="24" t="s">
        <v>203</v>
      </c>
      <c r="D61" s="24" t="s">
        <v>204</v>
      </c>
      <c r="E61" s="23">
        <v>24</v>
      </c>
      <c r="F61" s="24" t="s">
        <v>207</v>
      </c>
      <c r="G61" s="24" t="s">
        <v>225</v>
      </c>
      <c r="H61" s="23" t="s">
        <v>226</v>
      </c>
      <c r="I61" s="24" t="s">
        <v>226</v>
      </c>
      <c r="J61" s="23" t="s">
        <v>226</v>
      </c>
      <c r="K61" s="24" t="s">
        <v>226</v>
      </c>
      <c r="L61" s="23"/>
      <c r="M61" s="26" t="s">
        <v>272</v>
      </c>
      <c r="N61" s="24">
        <v>2018</v>
      </c>
      <c r="O61" s="79" t="s">
        <v>59</v>
      </c>
      <c r="P61" s="77"/>
      <c r="Q61" s="77"/>
      <c r="R61" s="77"/>
      <c r="S61" s="77"/>
      <c r="T61" s="78"/>
      <c r="U61" s="5">
        <f>COUNTIFS(   D4:D1440,"Paleontología y Evolución")</f>
        <v>0</v>
      </c>
      <c r="V61" s="5">
        <f>COUNTIFS(   D4:D1440,"Paleontología y Evolución.",F4:F1440,"Hombre")</f>
        <v>0</v>
      </c>
      <c r="W61" s="5">
        <f>COUNTIFS(   D4:D1440,"Paleontología y Evolución",F4:F1440,"Mujer")</f>
        <v>0</v>
      </c>
      <c r="X61" s="19">
        <f>COUNTIFS(   A4:A1440,"2018", D4:D1440,"Paleontología y Evolución")</f>
        <v>0</v>
      </c>
      <c r="Y61" s="5">
        <f>COUNTIFS(   A4:A1440,"2019", D4:D1440,"Paleontología y Evolución")</f>
        <v>0</v>
      </c>
      <c r="Z61" s="5">
        <f>COUNTIFS(   A4:A1440,"2020", D4:D1440,"Paleontología y Evolución")</f>
        <v>0</v>
      </c>
      <c r="AA61" s="5">
        <f>COUNTIFS(   A4:A1440,"2021", D4:D1440,"Paleontología y Evolución")</f>
        <v>0</v>
      </c>
      <c r="AB61" s="5">
        <f>COUNTIFS(  A4:A1440,"2022", D4:D1440,"Paleontología y Evolución")</f>
        <v>0</v>
      </c>
      <c r="AC61" s="19">
        <f>COUNTIFS(   N4:N1440,"2018", D4:D1440,"Paleontología y Evolución")</f>
        <v>0</v>
      </c>
      <c r="AD61" s="5">
        <f>COUNTIFS(   N4:N1440,"2019", D4:D1440,"Paleontología y Evolución")</f>
        <v>0</v>
      </c>
      <c r="AE61" s="5">
        <f>COUNTIFS(   N4:N1440,"2020", D4:D1440,"Paleontología y Evolución")</f>
        <v>0</v>
      </c>
      <c r="AF61" s="5">
        <f>COUNTIFS(   N4:N1440,"2021", D4:D1440,"Paleontología y Evolución")</f>
        <v>0</v>
      </c>
      <c r="AG61" s="5">
        <f>COUNTIFS(   N4:N1440,"2022", D4:D1440,"Paleontología y Evolución")</f>
        <v>0</v>
      </c>
      <c r="AH61" s="5">
        <f>COUNTIFS(   D4:D1440,"Paleontología y Evolución",G4:G1440,"Sí")</f>
        <v>0</v>
      </c>
      <c r="AI61" s="5">
        <f>COUNTIFS(   D4:D1440,"Paleontología y Evolución",G4:G1440,"No")</f>
        <v>0</v>
      </c>
      <c r="AJ61" s="5">
        <f>SUMIFS( E4:E1440, D4:D1440,"Paleontología y Evolución",G4:G1440,"Sí")</f>
        <v>0</v>
      </c>
      <c r="AK61" s="5">
        <f>SUMIFS( E4:E1440, D4:D1440,"Paleontología y Evolución",G4:G1440,"No")</f>
        <v>0</v>
      </c>
      <c r="AL61" s="5">
        <f>COUNTIFS(   D4:D1440,"Paleontología y Evolución",H4:H1440,"Sí")</f>
        <v>0</v>
      </c>
      <c r="AM61" s="5">
        <f>COUNTIFS(   D4:D1440,"Paleontología y Evolución",I4:I1440,"Sí")</f>
        <v>0</v>
      </c>
      <c r="AN61" s="5">
        <f>COUNTIFS(   D4:D1440,"Paleontología y Evolución",I4:I1440,"No")</f>
        <v>0</v>
      </c>
      <c r="AO61" s="5">
        <f>SUMIFS( E4:E1440, D4:D1440,"Paleontología y Evolución",I4:I1440,"Sí")</f>
        <v>0</v>
      </c>
      <c r="AP61" s="5">
        <f>SUMIFS( E4:E1440, D4:D1440,"Paleontología y Evolución",I4:I1440,"No")</f>
        <v>0</v>
      </c>
      <c r="AQ61" s="5">
        <f>COUNTIFS(   D4:D1440,"Paleontología y Evolución",J4:J1440,"Sí")</f>
        <v>0</v>
      </c>
      <c r="AR61" s="5">
        <f>COUNTIFS(   D4:D1440,"Paleontología y Evolución",K4:K1440,"Sí")</f>
        <v>0</v>
      </c>
      <c r="AS61" s="5">
        <f>COUNTIFS(   D4:D1440,"Paleontología y Evolución",L4:L1440,"Sí")</f>
        <v>0</v>
      </c>
      <c r="AT61" s="5">
        <f>SUMIFS( E4:E1440, D4:D1440,"Paleontología y Evolución")</f>
        <v>0</v>
      </c>
      <c r="AU61" s="5">
        <f>SUMIFS( E4:E1440, F4:F1440,"Hombre", D4:D1440,"Paleontología y Evolución")</f>
        <v>0</v>
      </c>
      <c r="AV61" s="5">
        <f>SUMIFS( E4:E1440, F4:F1440,"Mujer", D4:D1440,"Paleontología y Evolución")</f>
        <v>0</v>
      </c>
      <c r="AW61" s="19">
        <f>SUMIFS( E4:E1440, A4:A1440,"2018", D4:D1440,"Paleontología y Evolución")</f>
        <v>0</v>
      </c>
      <c r="AX61" s="5">
        <f>SUMIFS( E4:E1440, A4:A1440,"2019", D4:D1440,"Paleontología y Evolución")</f>
        <v>0</v>
      </c>
      <c r="AY61" s="5">
        <f>SUMIFS( E4:E1440, A4:A1440,"2020", D4:D1440,"Paleontología y Evolución")</f>
        <v>0</v>
      </c>
      <c r="AZ61" s="5">
        <f>SUMIFS( E4:E1440, A4:A1440,"2021", D4:D1440,"Paleontología y Evolución")</f>
        <v>0</v>
      </c>
      <c r="BA61" s="5">
        <f>SUMIFS( E4:E1440, A4:A1440,"2022", D4:D1440,"Paleontología y Evolución")</f>
        <v>0</v>
      </c>
      <c r="BB61" s="19">
        <f>SUMIFS( E4:E1440, N4:N1440,"2018", D4:D1440,"Paleontología y Evolución")</f>
        <v>0</v>
      </c>
      <c r="BC61" s="5">
        <f>SUMIFS( E4:E1440, N4:N1440,"2019", D4:D1440,"Paleontología y Evolución")</f>
        <v>0</v>
      </c>
      <c r="BD61" s="5">
        <f>SUMIFS( E4:E1440, N4:N1440,"2020", D4:D1440,"Paleontología y Evolución")</f>
        <v>0</v>
      </c>
      <c r="BE61" s="5">
        <f>SUMIFS( E4:E1440, N4:N1440,"2021", D4:D1440,"Paleontología y Evolución")</f>
        <v>0</v>
      </c>
      <c r="BF61" s="5">
        <f>SUMIFS( E4:E1440, N4:N1440,"2022", D4:D1440,"Paleontología y Evolución")</f>
        <v>0</v>
      </c>
      <c r="BG61" s="14" t="e">
        <f>AVERAGEIFS( E4:E1441, D4:D1441,"Paleontología y Evolución")</f>
        <v>#DIV/0!</v>
      </c>
      <c r="BH61" s="14">
        <v>0</v>
      </c>
      <c r="BI61" s="14">
        <v>0</v>
      </c>
      <c r="BJ61" s="14">
        <v>0</v>
      </c>
      <c r="BK61" s="14" t="e">
        <f>AVERAGEIFS( E4:E1440, A4:A1440,"2021", D4:D1440,"Paleontología y Evolución")</f>
        <v>#DIV/0!</v>
      </c>
      <c r="BL61" s="37" t="e">
        <f>AVERAGEIFS( E4:E1440, A4:A1440,"2022", D4:D1440,"Paleontología y Evolución")</f>
        <v>#DIV/0!</v>
      </c>
      <c r="BM61" s="14">
        <v>10.5</v>
      </c>
      <c r="BN61" s="14">
        <v>0</v>
      </c>
      <c r="BO61" s="14">
        <v>0</v>
      </c>
      <c r="BP61" s="14">
        <v>0</v>
      </c>
      <c r="BQ61" s="14">
        <v>11</v>
      </c>
      <c r="BR61" s="14">
        <v>10</v>
      </c>
    </row>
    <row r="62" spans="1:70" ht="15" customHeight="1">
      <c r="A62" s="24">
        <v>2018</v>
      </c>
      <c r="B62" s="24" t="s">
        <v>4</v>
      </c>
      <c r="C62" s="24" t="s">
        <v>203</v>
      </c>
      <c r="D62" s="24" t="s">
        <v>40</v>
      </c>
      <c r="E62" s="23">
        <v>8</v>
      </c>
      <c r="F62" s="24" t="s">
        <v>211</v>
      </c>
      <c r="G62" s="24" t="s">
        <v>225</v>
      </c>
      <c r="H62" s="23" t="s">
        <v>226</v>
      </c>
      <c r="I62" s="24" t="s">
        <v>226</v>
      </c>
      <c r="J62" s="23" t="s">
        <v>226</v>
      </c>
      <c r="K62" s="24" t="s">
        <v>226</v>
      </c>
      <c r="L62" s="23"/>
      <c r="M62" s="26" t="s">
        <v>272</v>
      </c>
      <c r="N62" s="24">
        <v>2018</v>
      </c>
      <c r="O62" s="40" t="s">
        <v>60</v>
      </c>
      <c r="P62" s="41"/>
      <c r="Q62" s="41"/>
      <c r="R62" s="41"/>
      <c r="S62" s="41"/>
      <c r="T62" s="42"/>
      <c r="U62" s="4">
        <f>COUNTIFS(   C4:C1440,"Ciencias de la Tierra")</f>
        <v>29</v>
      </c>
      <c r="V62" s="4">
        <f>COUNTIFS(   C4:C1440,"Ciencias de la Tierra",F4:F1440,"Hombre")</f>
        <v>17</v>
      </c>
      <c r="W62" s="4">
        <f>COUNTIFS(   C4:C1440,"Ciencias de la Tierra",F4:F1440,"Mujer")</f>
        <v>12</v>
      </c>
      <c r="X62" s="18">
        <f>COUNTIFS(   A4:A1440,"2018", C4:C1440,"Ciencias de la Tierra")</f>
        <v>9</v>
      </c>
      <c r="Y62" s="4">
        <f>COUNTIFS(   A4:A1440,"2019", C4:C1440,"Ciencias de la Tierra")</f>
        <v>8</v>
      </c>
      <c r="Z62" s="4">
        <f>COUNTIFS(   A4:A1440,"2020", C4:C1440,"Ciencias de la Tierra")</f>
        <v>4</v>
      </c>
      <c r="AA62" s="4">
        <f>COUNTIFS(   A4:A1440,"2021", C4:C1440,"Ciencias de la Tierra")</f>
        <v>8</v>
      </c>
      <c r="AB62" s="4">
        <f>COUNTIFS(   A4:A1440,"2022", C4:C1440,"Ciencias de la Tierra")</f>
        <v>0</v>
      </c>
      <c r="AC62" s="18">
        <f>COUNTIFS(   N4:N1440,"2018", C4:C1440,"Ciencias de la Tierra")</f>
        <v>2</v>
      </c>
      <c r="AD62" s="4">
        <f>COUNTIFS(   N4:N1440,"2019", C4:C1440,"Ciencias de la Tierra")</f>
        <v>7</v>
      </c>
      <c r="AE62" s="4">
        <f>COUNTIFS(   N4:N1440,"2020", C4:C1440,"Ciencias de la Tierra")</f>
        <v>9</v>
      </c>
      <c r="AF62" s="4">
        <f>COUNTIFS(   N4:N1440,"2021", C4:C1440,"Ciencias de la Tierra")</f>
        <v>7</v>
      </c>
      <c r="AG62" s="4">
        <f>COUNTIFS(   N4:N1440,"2022", C4:C1440,"Ciencias de la Tierra")</f>
        <v>4</v>
      </c>
      <c r="AH62" s="4">
        <f>COUNTIFS(   C4:C1440,"Ciencias de la Tierra",G4:G1440,"Sí")</f>
        <v>3</v>
      </c>
      <c r="AI62" s="4">
        <f>COUNTIFS(   C4:C1440,"Ciencias de la Tierra",G4:G1440,"No")</f>
        <v>26</v>
      </c>
      <c r="AJ62" s="4">
        <f>SUMIFS( E4:E1440, C4:C1440,"Ciencias de la Tierra",G4:G1440,"Sí")</f>
        <v>10</v>
      </c>
      <c r="AK62" s="4">
        <f>SUMIFS( E4:E1440, C4:C1440,"Ciencias de la Tierra",G4:G1440,"No")</f>
        <v>99</v>
      </c>
      <c r="AL62" s="4">
        <f>COUNTIFS(   C4:C1440,"Ciencias de la Tierra",H4:H1440,"Sí")</f>
        <v>20</v>
      </c>
      <c r="AM62" s="4">
        <f>COUNTIFS(   C4:C1440,"Ciencias de la Tierra",I4:I1440,"Sí")</f>
        <v>13</v>
      </c>
      <c r="AN62" s="4">
        <f>COUNTIFS(   C4:C1440,"Ciencias de la Tierra",I4:I1440,"No")</f>
        <v>16</v>
      </c>
      <c r="AO62" s="4">
        <f>SUMIFS( E4:E1440, C4:C1440,"Ciencias de la Tierra",I4:I1440,"Sí")</f>
        <v>75</v>
      </c>
      <c r="AP62" s="4">
        <f>SUMIFS( E4:E1440, C4:C1440,"Ciencias de la Tierra",I4:I1440,"No")</f>
        <v>34</v>
      </c>
      <c r="AQ62" s="4">
        <f>COUNTIFS(   C4:C1440,"Ciencias de la Tierra",J4:J1440,"Sí")</f>
        <v>29</v>
      </c>
      <c r="AR62" s="4">
        <f>COUNTIFS(   C4:C1440,"Ciencias de la Tierra",K4:K1440,"Sí")</f>
        <v>8</v>
      </c>
      <c r="AS62" s="4">
        <f>COUNTIFS(   C4:C1440,"Ciencias de la Tierra",L4:L1440,"Sí")</f>
        <v>0</v>
      </c>
      <c r="AT62" s="4">
        <f>SUMIFS( E4:E1440, C4:C1440,"Ciencias de la Tierra")</f>
        <v>109</v>
      </c>
      <c r="AU62" s="4">
        <f>SUMIFS( E4:E1440, F4:F1440,"Hombre", C4:C1440,"Ciencias de la Tierra")</f>
        <v>75</v>
      </c>
      <c r="AV62" s="4">
        <f>SUMIFS( E4:E1440, F4:F1440,"Mujer", C4:C1440,"Ciencias de la Tierra")</f>
        <v>34</v>
      </c>
      <c r="AW62" s="18">
        <f>SUMIFS( E4:E1440, A4:A1440,"2018", C4:C1440,"Ciencias de la Tierra")</f>
        <v>34</v>
      </c>
      <c r="AX62" s="4">
        <f>SUMIFS( E4:E1440, A4:A1440,"2019", C4:C1440,"Ciencias de la Tierra")</f>
        <v>30</v>
      </c>
      <c r="AY62" s="4">
        <f>SUMIFS( E4:E1440, A4:A1440,"2020", C4:C1440,"Ciencias de la Tierra")</f>
        <v>3</v>
      </c>
      <c r="AZ62" s="4">
        <f>SUMIFS( E4:E1440, A4:A1440,"2021", C4:C1440,"Ciencias de la Tierra")</f>
        <v>42</v>
      </c>
      <c r="BA62" s="4">
        <f>SUMIFS( E4:E1440, A4:A1440,"2022", C4:C1440,"Ciencias de la Tierra")</f>
        <v>0</v>
      </c>
      <c r="BB62" s="18">
        <f>SUMIFS( E4:E1440, N4:N1440,"2018", C4:C1440,"Ciencias de la Tierra")</f>
        <v>8</v>
      </c>
      <c r="BC62" s="4">
        <f>SUMIFS( E4:E1440, N4:N1440,"2019", C4:C1440,"Ciencias de la Tierra")</f>
        <v>26</v>
      </c>
      <c r="BD62" s="4">
        <f>SUMIFS( E4:E1440, N4:N1440,"2020", C4:C1440,"Ciencias de la Tierra")</f>
        <v>32</v>
      </c>
      <c r="BE62" s="4">
        <f>SUMIFS( E4:E1440, N4:N1440,"2021", C4:C1440,"Ciencias de la Tierra")</f>
        <v>36</v>
      </c>
      <c r="BF62" s="4">
        <f>SUMIFS( E4:E1440, N4:N1440,"2022", C4:C1440,"Ciencias de la Tierra")</f>
        <v>7</v>
      </c>
      <c r="BG62" s="13">
        <f>AVERAGEIFS( E4:E1440, C4:C1440,"Ciencias de la Tierra")</f>
        <v>5.1904761904761907</v>
      </c>
      <c r="BH62" s="13">
        <v>0</v>
      </c>
      <c r="BI62" s="13">
        <v>0</v>
      </c>
      <c r="BJ62" s="13">
        <f>AVERAGEIFS( E4:E1440, A4:A1440,"2020", C4:C1440,"Ciencias de la Tierra")</f>
        <v>1.5</v>
      </c>
      <c r="BK62" s="13">
        <f>AVERAGEIFS( E4:E1440, A4:A1440,"2021", C4:C1440,"Ciencias de la Tierra")</f>
        <v>7</v>
      </c>
      <c r="BL62" s="37" t="e">
        <f>AVERAGEIFS( E4:E1440, A4:A1440,"2022", C4:C1440,"Ciencias de la Tierra")</f>
        <v>#DIV/0!</v>
      </c>
      <c r="BM62" s="13">
        <f>AVERAGE(AT63:AT73)</f>
        <v>9.6363636363636367</v>
      </c>
      <c r="BN62" s="13">
        <v>0</v>
      </c>
      <c r="BO62" s="13">
        <v>0</v>
      </c>
      <c r="BP62" s="13">
        <f>AVERAGE(AY63:AY73)</f>
        <v>0.27272727272727271</v>
      </c>
      <c r="BQ62" s="13">
        <f>AVERAGE(AZ63:AZ73)</f>
        <v>3.8181818181818183</v>
      </c>
      <c r="BR62" s="13">
        <f>AVERAGE(BA63:BA73)</f>
        <v>0</v>
      </c>
    </row>
    <row r="63" spans="1:70" ht="15" customHeight="1">
      <c r="A63" s="24">
        <v>2018</v>
      </c>
      <c r="B63" s="24" t="s">
        <v>4</v>
      </c>
      <c r="C63" s="24" t="s">
        <v>23</v>
      </c>
      <c r="D63" s="24" t="s">
        <v>28</v>
      </c>
      <c r="E63" s="23">
        <v>12</v>
      </c>
      <c r="F63" s="24" t="s">
        <v>211</v>
      </c>
      <c r="G63" s="24" t="s">
        <v>225</v>
      </c>
      <c r="H63" s="23" t="s">
        <v>226</v>
      </c>
      <c r="I63" s="24" t="s">
        <v>226</v>
      </c>
      <c r="J63" s="23" t="s">
        <v>226</v>
      </c>
      <c r="K63" s="24" t="s">
        <v>226</v>
      </c>
      <c r="L63" s="23"/>
      <c r="M63" s="26" t="s">
        <v>272</v>
      </c>
      <c r="N63" s="24">
        <v>2018</v>
      </c>
      <c r="O63" s="79" t="s">
        <v>82</v>
      </c>
      <c r="P63" s="77"/>
      <c r="Q63" s="77"/>
      <c r="R63" s="77"/>
      <c r="S63" s="77"/>
      <c r="T63" s="78"/>
      <c r="U63" s="5">
        <f>COUNTIFS(   D4:D1440,"Geología aplicada a la obra civil y riesgo geológico")</f>
        <v>0</v>
      </c>
      <c r="V63" s="5">
        <f>COUNTIFS(   D4:D1440,"Geología aplicada a la obra civil y riesgo geológico",F4:F1440,"Hombre")</f>
        <v>0</v>
      </c>
      <c r="W63" s="5">
        <f>COUNTIFS(   D4:D1440,"Geología aplicada a la obra civil y riesgo geológico",F4:F1440,"Mujer")</f>
        <v>0</v>
      </c>
      <c r="X63" s="19">
        <f>COUNTIFS(   A4:A1440,"2018", D4:D1440,"Geología aplicada a la obra civil y riesgo geológico")</f>
        <v>0</v>
      </c>
      <c r="Y63" s="5">
        <f>COUNTIFS(   A4:A1440,"2019", D4:D1440,"Geología aplicada a la obra civil y riesgo geológico")</f>
        <v>0</v>
      </c>
      <c r="Z63" s="5">
        <f>COUNTIFS(   A4:A1440,"2020", D4:D1440,"Geología aplicada a la obra civil y riesgo geológico")</f>
        <v>0</v>
      </c>
      <c r="AA63" s="5">
        <f>COUNTIFS(   A4:A1440,"2021", D4:D1440,"Geología aplicada a la obra civil y riesgo geológico")</f>
        <v>0</v>
      </c>
      <c r="AB63" s="5">
        <f>COUNTIFS(  A4:A1440,"2022", D4:D1440,"Geología aplicada a la obra civil y riesgo geológico")</f>
        <v>0</v>
      </c>
      <c r="AC63" s="19">
        <f>COUNTIFS(   N4:N1440,"2018", D4:D1440,"Geología aplicada a la obra civil y riesgo geológico")</f>
        <v>0</v>
      </c>
      <c r="AD63" s="5">
        <f>COUNTIFS(   N4:N1440,"2019", D4:D1440,"Geología aplicada a la obra civil y riesgo geológico")</f>
        <v>0</v>
      </c>
      <c r="AE63" s="5">
        <f>COUNTIFS(   N4:N1440,"2020", D4:D1440,"Geología aplicada a la obra civil y riesgo geológico")</f>
        <v>0</v>
      </c>
      <c r="AF63" s="5">
        <f>COUNTIFS(   N4:N1440,"2021", D4:D1440,"Geología aplicada a la obra civil y riesgo geológico")</f>
        <v>0</v>
      </c>
      <c r="AG63" s="5">
        <f>COUNTIFS(   N4:N1440,"2022", D4:D1440,"Geología aplicada a la obra civil y riesgo geológico")</f>
        <v>0</v>
      </c>
      <c r="AH63" s="5">
        <f>COUNTIFS(   D4:D1440,"Geología aplicada a la obra civil y riesgo geológico",G4:G1440,"Sí")</f>
        <v>0</v>
      </c>
      <c r="AI63" s="5">
        <f>COUNTIFS(   D4:D1440,"Geología aplicada a la obra civil y riesgo geológico",G4:G1440,"No")</f>
        <v>0</v>
      </c>
      <c r="AJ63" s="5">
        <f>SUMIFS( E4:E1440, D4:D1440,"Geología aplicada a la obra civil y riesgo geológico",G4:G1440,"Sí")</f>
        <v>0</v>
      </c>
      <c r="AK63" s="5">
        <f>SUMIFS( E4:E1440, D4:D1440,"Geología aplicada a la obra civil y riesgo geológico",G4:G1440,"No")</f>
        <v>0</v>
      </c>
      <c r="AL63" s="5">
        <f>COUNTIFS(   D4:D1440,"Geología aplicada a la obra civil y riesgo geológico",H4:H1440,"Sí")</f>
        <v>0</v>
      </c>
      <c r="AM63" s="5">
        <f>COUNTIFS(   D4:D1440,"Geología aplicada a la obra civil y riesgo geológico",I4:I1440,"Sí")</f>
        <v>0</v>
      </c>
      <c r="AN63" s="5">
        <f>COUNTIFS(   D4:D1440,"Geología aplicada a la obra civil y riesgo geológico",I4:I1440,"No")</f>
        <v>0</v>
      </c>
      <c r="AO63" s="5">
        <f>SUMIFS( E4:E1440, D4:D1440,"Geología aplicada a la obra civil y riesgo geológico",I4:I1440,"Sí")</f>
        <v>0</v>
      </c>
      <c r="AP63" s="5">
        <f>SUMIFS( E4:E1440, D4:D1440,"Geología aplicada a la obra civil y riesgo geológico",I4:I1440,"No")</f>
        <v>0</v>
      </c>
      <c r="AQ63" s="5">
        <f>COUNTIFS(   D4:D1440,"Geología aplicada a la obra civil y riesgo geológico",J4:J1440,"Sí")</f>
        <v>0</v>
      </c>
      <c r="AR63" s="5">
        <f>COUNTIFS(   D4:D1440,"Geología aplicada a la obra civil y riesgo geológico",K4:K1440,"Sí")</f>
        <v>0</v>
      </c>
      <c r="AS63" s="5">
        <f>COUNTIFS(   D4:D1440,"Geología aplicada a la obra civil y riesgo geológico",L4:L1440,"Sí")</f>
        <v>0</v>
      </c>
      <c r="AT63" s="5">
        <f>SUMIFS( E4:E1440, D4:D1440,"Geología aplicada a la obra civil y riesgo geológico")</f>
        <v>0</v>
      </c>
      <c r="AU63" s="5">
        <f>SUMIFS( E4:E1440, F4:F1440,"Hombre", D4:D1440,"Geología aplicada a la obra civil y riesgo geológico")</f>
        <v>0</v>
      </c>
      <c r="AV63" s="5">
        <f>SUMIFS( E4:E1440, F4:F1440,"Mujer", D4:D1440,"Geología aplicada a la obra civil y riesgo geológico")</f>
        <v>0</v>
      </c>
      <c r="AW63" s="19">
        <f>SUMIFS( E4:E1440, A4:A1440,"2018", D4:D1440,"Geología aplicada a la obra civil y riesgo geológico")</f>
        <v>0</v>
      </c>
      <c r="AX63" s="5">
        <f>SUMIFS( E4:E1440, A4:A1440,"2019", D4:D1440,"Geología aplicada a la obra civil y riesgo geológico")</f>
        <v>0</v>
      </c>
      <c r="AY63" s="5">
        <f>SUMIFS( E4:E1440, A4:A1440,"2020", D4:D1440,"Geología aplicada a la obra civil y riesgo geológico")</f>
        <v>0</v>
      </c>
      <c r="AZ63" s="5">
        <f>SUMIFS( E4:E1440, A4:A1440,"2021", D4:D1440,"Geología aplicada a la obra civil y riesgo geológico")</f>
        <v>0</v>
      </c>
      <c r="BA63" s="5">
        <f>SUMIFS( E4:E1440, A4:A1440,"2022", D4:D1440,"Geología aplicada a la obra civil y riesgo geológico")</f>
        <v>0</v>
      </c>
      <c r="BB63" s="19">
        <f>SUMIFS( E4:E1440, N4:N1440,"2018", D4:D1440,"Geología aplicada a la obra civil y riesgo geológico")</f>
        <v>0</v>
      </c>
      <c r="BC63" s="5">
        <f>SUMIFS( E4:E1440, N4:N1440,"2019", D4:D1440,"Geología aplicada a la obra civil y riesgo geológico")</f>
        <v>0</v>
      </c>
      <c r="BD63" s="5">
        <f>SUMIFS( E4:E1440, N4:N1440,"2020", D4:D1440,"Geología aplicada a la obra civil y riesgo geológico")</f>
        <v>0</v>
      </c>
      <c r="BE63" s="5">
        <f>SUMIFS( E4:E1440, N4:N1440,"2021", D4:D1440,"Geología aplicada a la obra civil y riesgo geológico")</f>
        <v>0</v>
      </c>
      <c r="BF63" s="5">
        <f>SUMIFS( E4:E1440, N4:N1440,"2022", D4:D1440,"Geología aplicada a la obra civil y riesgo geológico")</f>
        <v>0</v>
      </c>
      <c r="BG63" s="14" t="e">
        <f>AVERAGEIFS( E4:E1440, D4:D1440,"Geología aplicada a la obra civil y riesgo geológico")</f>
        <v>#DIV/0!</v>
      </c>
      <c r="BH63" s="14">
        <v>0</v>
      </c>
      <c r="BI63" s="14">
        <v>0</v>
      </c>
      <c r="BJ63" s="14">
        <v>0</v>
      </c>
      <c r="BK63" s="14">
        <v>0</v>
      </c>
      <c r="BL63" s="37" t="e">
        <f>AVERAGEIFS( E4:E1440, A4:A1440,"2022", D4:D1440,"Geología aplicada a la obra civil y riesgo geológico")</f>
        <v>#DIV/0!</v>
      </c>
      <c r="BM63" s="14">
        <v>4</v>
      </c>
      <c r="BN63" s="14">
        <v>0</v>
      </c>
      <c r="BO63" s="14">
        <v>0</v>
      </c>
      <c r="BP63" s="14">
        <v>0</v>
      </c>
      <c r="BQ63" s="14">
        <v>0</v>
      </c>
      <c r="BR63" s="14">
        <v>4</v>
      </c>
    </row>
    <row r="64" spans="1:70" ht="15" customHeight="1">
      <c r="A64" s="24">
        <v>2018</v>
      </c>
      <c r="B64" s="24" t="s">
        <v>136</v>
      </c>
      <c r="C64" s="24" t="s">
        <v>176</v>
      </c>
      <c r="D64" s="24" t="s">
        <v>186</v>
      </c>
      <c r="E64" s="23">
        <v>16</v>
      </c>
      <c r="F64" s="24" t="s">
        <v>211</v>
      </c>
      <c r="G64" s="24" t="s">
        <v>225</v>
      </c>
      <c r="H64" s="23" t="s">
        <v>226</v>
      </c>
      <c r="I64" s="24" t="s">
        <v>226</v>
      </c>
      <c r="J64" s="23" t="s">
        <v>226</v>
      </c>
      <c r="K64" s="24" t="s">
        <v>226</v>
      </c>
      <c r="L64" s="23"/>
      <c r="M64" s="25">
        <v>43414</v>
      </c>
      <c r="N64" s="24">
        <v>2018</v>
      </c>
      <c r="O64" s="51" t="s">
        <v>367</v>
      </c>
      <c r="P64" s="52"/>
      <c r="Q64" s="52"/>
      <c r="R64" s="52"/>
      <c r="S64" s="52"/>
      <c r="T64" s="53"/>
      <c r="U64" s="5">
        <f>COUNTIFS(   D4:D1440,"Sismología y Geofísica")</f>
        <v>3</v>
      </c>
      <c r="V64" s="5">
        <f>COUNTIFS(   D4:D1440,"Sismología y Geofísica",F4:F1440,"Hombre")</f>
        <v>1</v>
      </c>
      <c r="W64" s="5">
        <f>COUNTIFS(   D4:D1440,"Sismología y Geofísica",F4:F1440,"Mujer")</f>
        <v>2</v>
      </c>
      <c r="X64" s="19">
        <f>COUNTIFS(   A4:A1440,"2018", D4:D1440,"Sismología y Geofísica")</f>
        <v>1</v>
      </c>
      <c r="Y64" s="5">
        <f>COUNTIFS(   A4:A1440,"2019", D4:D1440,"Sismología y Geofísica")</f>
        <v>1</v>
      </c>
      <c r="Z64" s="5">
        <f>COUNTIFS(   A4:A1440,"2020", D4:D1440,"Sismología y Geofísica")</f>
        <v>0</v>
      </c>
      <c r="AA64" s="5">
        <f>COUNTIFS(   A4:A1440,"2021", D4:D1440,"Sismología y Geofísica")</f>
        <v>1</v>
      </c>
      <c r="AB64" s="5">
        <f>COUNTIFS(  A4:A1440,"2022", D4:D1440,"Sismología y Geofísica")</f>
        <v>0</v>
      </c>
      <c r="AC64" s="19">
        <f>COUNTIFS(   N4:N1440,"2018", D4:D1440,"Sismología y Geofísica")</f>
        <v>0</v>
      </c>
      <c r="AD64" s="5">
        <f>COUNTIFS(   N4:N1440,"2019", D4:D1440,"Sismología y Geofísica")</f>
        <v>1</v>
      </c>
      <c r="AE64" s="5">
        <f>COUNTIFS(   N4:N1440,"2020", D4:D1440,"Sismología y Geofísica")</f>
        <v>1</v>
      </c>
      <c r="AF64" s="5">
        <f>COUNTIFS(   N4:N1440,"2021", D4:D1440,"Sismología y Geofísica")</f>
        <v>0</v>
      </c>
      <c r="AG64" s="5">
        <f>COUNTIFS(   N4:N1440,"2022", D4:D1440,"Sismología y Geofísica")</f>
        <v>1</v>
      </c>
      <c r="AH64" s="5">
        <f>COUNTIFS(   D4:D1440,"Sismología y Geofísica",G4:G1440,"Sí")</f>
        <v>0</v>
      </c>
      <c r="AI64" s="5">
        <f>COUNTIFS(   D4:D1440,"Sismología y Geofísica",G4:G1440,"No")</f>
        <v>3</v>
      </c>
      <c r="AJ64" s="5">
        <f>SUMIFS( E4:E1440, D4:D1440,"Sismología y Geofísica",G4:G1440,"Sí")</f>
        <v>0</v>
      </c>
      <c r="AK64" s="5">
        <f>SUMIFS( E4:E1440, D4:D1440,"Sismología y Geofísica",G4:G1440,"No")</f>
        <v>7</v>
      </c>
      <c r="AL64" s="5">
        <f>COUNTIFS(   D4:D1440,"Sismología y Geofísica",H4:H1440,"Sí")</f>
        <v>3</v>
      </c>
      <c r="AM64" s="5">
        <f>COUNTIFS(   D4:D1440,"Sismología y Geofísica",I4:I1440,"Sí")</f>
        <v>1</v>
      </c>
      <c r="AN64" s="5">
        <f>COUNTIFS(   D4:D1440,"Sismología y Geofísica",I4:I1440,"No")</f>
        <v>2</v>
      </c>
      <c r="AO64" s="5">
        <f>SUMIFS( E4:E1440, D4:D1440,"Sismología y Geofísica",I4:I1440,"Sí")</f>
        <v>4</v>
      </c>
      <c r="AP64" s="5">
        <f>SUMIFS( E4:E1440, D4:D1440,"Sismología y Geofísica",I4:I1440,"No")</f>
        <v>3</v>
      </c>
      <c r="AQ64" s="5">
        <f>COUNTIFS(   D4:D1440,"Sismología y Geofísica",J4:J1440,"Sí")</f>
        <v>3</v>
      </c>
      <c r="AR64" s="5">
        <f>COUNTIFS(   D4:D1440,"Sismología y Geofísica",K4:K1440,"Sí")</f>
        <v>0</v>
      </c>
      <c r="AS64" s="5">
        <f>COUNTIFS(   D4:D1440,"Sismología y Geofísica",L4:L1440,"Sí")</f>
        <v>0</v>
      </c>
      <c r="AT64" s="5">
        <f>SUMIFS( E4:E1440, D4:D1440,"Sismología y Geofísica")</f>
        <v>7</v>
      </c>
      <c r="AU64" s="5">
        <f>SUMIFS( E4:E1440, F4:F1440,"Hombre", D4:D1440,"Sismología y Geofísica")</f>
        <v>4</v>
      </c>
      <c r="AV64" s="5">
        <f>SUMIFS( E4:E1440, F4:F1440,"Mujer", D4:D1440,"Sismología y Geofísica")</f>
        <v>3</v>
      </c>
      <c r="AW64" s="19">
        <f>SUMIFS( E4:E1440, A4:A1440,"2018", D4:D1440,"Sismología y Geofísica")</f>
        <v>4</v>
      </c>
      <c r="AX64" s="5">
        <f>SUMIFS( E4:E1440, A4:A1440,"2019", D4:D1440,"Sismología y Geofísica")</f>
        <v>1</v>
      </c>
      <c r="AY64" s="5">
        <f>SUMIFS( E4:E1440, A4:A1440,"2020", D4:D1440,"Sismología y Geofísica")</f>
        <v>0</v>
      </c>
      <c r="AZ64" s="5">
        <f>SUMIFS( E4:E1440, A4:A1440,"2021", D4:D1440,"Sismología y Geofísica")</f>
        <v>2</v>
      </c>
      <c r="BA64" s="5">
        <f>SUMIFS( E4:E1440, A4:A1440,"2022", D4:D1440,"Sismología y Geofísica")</f>
        <v>0</v>
      </c>
      <c r="BB64" s="19">
        <f>SUMIFS( E4:E1440, N4:N1440,"2018", D4:D1440,"Sismología y Geofísica")</f>
        <v>0</v>
      </c>
      <c r="BC64" s="5">
        <f>SUMIFS( E4:E1440, N4:N1440,"2019", D4:D1440,"Sismología y Geofísica")</f>
        <v>4</v>
      </c>
      <c r="BD64" s="5">
        <f>SUMIFS( E4:E1440, N4:N1440,"2020", D4:D1440,"Sismología y Geofísica")</f>
        <v>1</v>
      </c>
      <c r="BE64" s="5">
        <f>SUMIFS( E4:E1440, N4:N1440,"2021", D4:D1440,"Sismología y Geofísica")</f>
        <v>0</v>
      </c>
      <c r="BF64" s="5">
        <f>SUMIFS( E4:E1440, N4:N1440,"2022", D4:D1440,"Sismología y Geofísica")</f>
        <v>2</v>
      </c>
      <c r="BG64" s="14">
        <f>AVERAGEIFS( E4:E1440, D4:D1440,"Sismología y Geofísica")</f>
        <v>2.3333333333333335</v>
      </c>
      <c r="BH64" s="14"/>
      <c r="BI64" s="14"/>
      <c r="BJ64" s="14"/>
      <c r="BK64" s="14"/>
      <c r="BL64" s="37"/>
      <c r="BM64" s="14"/>
      <c r="BN64" s="14"/>
      <c r="BO64" s="14"/>
      <c r="BP64" s="14"/>
      <c r="BQ64" s="14"/>
      <c r="BR64" s="14"/>
    </row>
    <row r="65" spans="1:70" ht="15" customHeight="1">
      <c r="A65" s="24">
        <v>2018</v>
      </c>
      <c r="B65" s="24" t="s">
        <v>78</v>
      </c>
      <c r="C65" s="24" t="s">
        <v>681</v>
      </c>
      <c r="D65" s="24" t="s">
        <v>131</v>
      </c>
      <c r="E65" s="23">
        <v>265</v>
      </c>
      <c r="F65" s="24" t="s">
        <v>211</v>
      </c>
      <c r="G65" s="24" t="s">
        <v>225</v>
      </c>
      <c r="H65" s="23" t="s">
        <v>226</v>
      </c>
      <c r="I65" s="24" t="s">
        <v>225</v>
      </c>
      <c r="J65" s="23" t="s">
        <v>226</v>
      </c>
      <c r="K65" s="24" t="s">
        <v>226</v>
      </c>
      <c r="L65" s="23"/>
      <c r="M65" s="25">
        <v>43414</v>
      </c>
      <c r="N65" s="24">
        <v>2018</v>
      </c>
      <c r="O65" s="51" t="s">
        <v>486</v>
      </c>
      <c r="P65" s="52"/>
      <c r="Q65" s="52"/>
      <c r="R65" s="52"/>
      <c r="S65" s="52"/>
      <c r="T65" s="53"/>
      <c r="U65" s="5">
        <f>COUNTIFS(   D4:D1440,"Geología marina")</f>
        <v>3</v>
      </c>
      <c r="V65" s="5">
        <f>COUNTIFS(   D4:D1440,"Geología marina",F4:F1440,"Hombre")</f>
        <v>2</v>
      </c>
      <c r="W65" s="5">
        <f>COUNTIFS(   D4:D1440,"Geología marina",F4:F1440,"Mujer")</f>
        <v>1</v>
      </c>
      <c r="X65" s="19">
        <f>COUNTIFS(   A4:A1440,"2018", D4:D1440,"Geología marina")</f>
        <v>0</v>
      </c>
      <c r="Y65" s="5">
        <f>COUNTIFS(   A4:A1440,"2019", D4:D1440,"Geología marina")</f>
        <v>3</v>
      </c>
      <c r="Z65" s="5">
        <f>COUNTIFS(   A4:A1440,"2020", D4:D1440,"Geología marina")</f>
        <v>0</v>
      </c>
      <c r="AA65" s="5">
        <f>COUNTIFS(   A4:A1440,"2021", D4:D1440,"Geología marina")</f>
        <v>0</v>
      </c>
      <c r="AB65" s="5">
        <f>COUNTIFS(  A4:A1440,"2022", D4:D1440,"Geología marina")</f>
        <v>0</v>
      </c>
      <c r="AC65" s="19">
        <f>COUNTIFS(   N4:N1440,"2018", D4:D1440,"Geología marina")</f>
        <v>0</v>
      </c>
      <c r="AD65" s="5">
        <f>COUNTIFS(   N4:N1440,"2019", D4:D1440,"Geología marina")</f>
        <v>0</v>
      </c>
      <c r="AE65" s="5">
        <f>COUNTIFS(   N4:N1440,"2020", D4:D1440,"Geología marina")</f>
        <v>3</v>
      </c>
      <c r="AF65" s="5">
        <f>COUNTIFS(   N4:N1440,"2021", D4:D1440,"Geología marina")</f>
        <v>0</v>
      </c>
      <c r="AG65" s="5">
        <f>COUNTIFS(   N4:N1440,"2022", D4:D1440,"Geología marina")</f>
        <v>0</v>
      </c>
      <c r="AH65" s="5">
        <f>COUNTIFS(   D4:D1440,"Geología marina",G4:G1440,"Sí")</f>
        <v>0</v>
      </c>
      <c r="AI65" s="5">
        <f>COUNTIFS(   D4:D1440,"Geología marina",G4:G1440,"No")</f>
        <v>3</v>
      </c>
      <c r="AJ65" s="5">
        <f>SUMIFS( E4:E1440, D4:D1440,"Geología marina",G4:G1440,"Sí")</f>
        <v>0</v>
      </c>
      <c r="AK65" s="5">
        <f>SUMIFS( E4:E1440, D4:D1440,"Geología marina",G4:G1440,"No")</f>
        <v>20</v>
      </c>
      <c r="AL65" s="5">
        <f>COUNTIFS(   D4:D1440,"Geología marina",H4:H1440,"Sí")</f>
        <v>2</v>
      </c>
      <c r="AM65" s="5">
        <f>COUNTIFS(   D4:D1440,"Geología marina",I4:I1440,"Sí")</f>
        <v>2</v>
      </c>
      <c r="AN65" s="5">
        <f>COUNTIFS(   D4:D1440,"Geología marina",I4:I1440,"No")</f>
        <v>1</v>
      </c>
      <c r="AO65" s="5">
        <f>SUMIFS( E4:E1440, D4:D1440,"Geología marina",I4:I1440,"Sí")</f>
        <v>20</v>
      </c>
      <c r="AP65" s="5">
        <f>SUMIFS( E4:E1440, D4:D1440,"Geología marina",I4:I1440,"No")</f>
        <v>0</v>
      </c>
      <c r="AQ65" s="5">
        <f>COUNTIFS(   D4:D1440,"Geología marina",J4:J1440,"Sí")</f>
        <v>3</v>
      </c>
      <c r="AR65" s="5">
        <f>COUNTIFS(   D4:D1440,"Geología marina",K4:K1440,"Sí")</f>
        <v>0</v>
      </c>
      <c r="AS65" s="5">
        <f>COUNTIFS(   D4:D1440,"Geología marina",L4:L1440,"Sí")</f>
        <v>0</v>
      </c>
      <c r="AT65" s="5">
        <f>SUMIFS( E4:E1440, D4:D1440,"Geología marina")</f>
        <v>20</v>
      </c>
      <c r="AU65" s="5">
        <f>SUMIFS( E4:E1440, F4:F1440,"Hombre", D4:D1440,"Geología marina")</f>
        <v>12</v>
      </c>
      <c r="AV65" s="5">
        <f>SUMIFS( E4:E1440, F4:F1440,"Mujer", D4:D1440,"Geología marina")</f>
        <v>8</v>
      </c>
      <c r="AW65" s="19">
        <f>SUMIFS( E4:E1440, A4:A1440,"2018", D4:D1440,"Geología marina")</f>
        <v>0</v>
      </c>
      <c r="AX65" s="5">
        <f>SUMIFS( E4:E1440, A4:A1440,"2019", D4:D1440,"Geología marina")</f>
        <v>20</v>
      </c>
      <c r="AY65" s="5">
        <f>SUMIFS( E4:E1440, A4:A1440,"2020", D4:D1440,"Geología marina")</f>
        <v>0</v>
      </c>
      <c r="AZ65" s="5">
        <f>SUMIFS( E4:E1440, A4:A1440,"2021", D4:D1440,"Geología marina")</f>
        <v>0</v>
      </c>
      <c r="BA65" s="5">
        <f>SUMIFS( E4:E1440, A4:A1440,"2022", D4:D1440,"Geología marina")</f>
        <v>0</v>
      </c>
      <c r="BB65" s="19">
        <f>SUMIFS( E4:E1440, N4:N1440,"2018", D4:D1440,"Geología marina")</f>
        <v>0</v>
      </c>
      <c r="BC65" s="5">
        <f>SUMIFS( E4:E1440, N4:N1440,"2019", D4:D1440,"Geología marina")</f>
        <v>0</v>
      </c>
      <c r="BD65" s="5">
        <f>SUMIFS( E4:E1440, N4:N1440,"2020", D4:D1440,"Geología marina")</f>
        <v>20</v>
      </c>
      <c r="BE65" s="5">
        <f>SUMIFS( E4:E1440, N4:N1440,"2021", D4:D1440,"Geología marina")</f>
        <v>0</v>
      </c>
      <c r="BF65" s="5">
        <f>SUMIFS( E4:E1440, N4:N1440,"2022", D4:D1440,"Geología marina")</f>
        <v>0</v>
      </c>
      <c r="BG65" s="14">
        <f>AVERAGEIFS( E4:E1440, D4:D1440,"Geología marina")</f>
        <v>10</v>
      </c>
      <c r="BH65" s="14"/>
      <c r="BI65" s="14"/>
      <c r="BJ65" s="14"/>
      <c r="BK65" s="14"/>
      <c r="BL65" s="37"/>
      <c r="BM65" s="14"/>
      <c r="BN65" s="14"/>
      <c r="BO65" s="14"/>
      <c r="BP65" s="14"/>
      <c r="BQ65" s="14"/>
      <c r="BR65" s="14"/>
    </row>
    <row r="66" spans="1:70" ht="15" customHeight="1">
      <c r="A66" s="24">
        <v>2018</v>
      </c>
      <c r="B66" s="24" t="s">
        <v>136</v>
      </c>
      <c r="C66" s="24" t="s">
        <v>160</v>
      </c>
      <c r="D66" s="24" t="s">
        <v>163</v>
      </c>
      <c r="E66" s="23">
        <v>1</v>
      </c>
      <c r="F66" s="24" t="s">
        <v>207</v>
      </c>
      <c r="G66" s="24" t="s">
        <v>225</v>
      </c>
      <c r="H66" s="23" t="s">
        <v>226</v>
      </c>
      <c r="I66" s="24" t="s">
        <v>225</v>
      </c>
      <c r="J66" s="23" t="s">
        <v>226</v>
      </c>
      <c r="K66" s="24" t="s">
        <v>226</v>
      </c>
      <c r="L66" s="23"/>
      <c r="M66" s="25">
        <v>43416</v>
      </c>
      <c r="N66" s="24">
        <v>2018</v>
      </c>
      <c r="O66" s="51" t="s">
        <v>512</v>
      </c>
      <c r="P66" s="52"/>
      <c r="Q66" s="52"/>
      <c r="R66" s="52"/>
      <c r="S66" s="52"/>
      <c r="T66" s="53"/>
      <c r="U66" s="5">
        <f>COUNTIFS(   D4:D1440,"Estratografía y Sedimentología")</f>
        <v>1</v>
      </c>
      <c r="V66" s="5">
        <f>COUNTIFS(   D4:D1440,"Estratografía y Sedimentología",F4:F1440,"Hombre")</f>
        <v>1</v>
      </c>
      <c r="W66" s="5">
        <f>COUNTIFS(   D4:D1440,"Estratografía y Sedimentología",F4:F1440,"Mujer")</f>
        <v>0</v>
      </c>
      <c r="X66" s="19">
        <f>COUNTIFS(   A4:A1440,"2018", D4:D1440,"Estratografía y Sedimentología")</f>
        <v>0</v>
      </c>
      <c r="Y66" s="5">
        <f>COUNTIFS(   A4:A1440,"2019", D4:D1440,"Estratografía y Sedimentología")</f>
        <v>0</v>
      </c>
      <c r="Z66" s="5">
        <f>COUNTIFS(   A4:A1440,"2020", D4:D1440,"Estratografía y Sedimentología")</f>
        <v>1</v>
      </c>
      <c r="AA66" s="5">
        <f>COUNTIFS(   A4:A1440,"2021", D4:D1440,"Estratografía y Sedimentología")</f>
        <v>0</v>
      </c>
      <c r="AB66" s="5">
        <f>COUNTIFS(  A4:A1440,"2022", D4:D1440,"Estratografía y Sedimentología")</f>
        <v>0</v>
      </c>
      <c r="AC66" s="19">
        <f>COUNTIFS(   N4:N1440,"2018", D4:D1440,"Estratografía y Sedimentología")</f>
        <v>0</v>
      </c>
      <c r="AD66" s="5">
        <f>COUNTIFS(   N4:N1440,"2019", D4:D1440,"Estratografía y Sedimentología")</f>
        <v>0</v>
      </c>
      <c r="AE66" s="5">
        <f>COUNTIFS(   N4:N1440,"2020", D4:D1440,"Estratografía y Sedimentología")</f>
        <v>1</v>
      </c>
      <c r="AF66" s="5">
        <f>COUNTIFS(   N4:N1440,"2021", D4:D1440,"Estratografía y Sedimentología")</f>
        <v>0</v>
      </c>
      <c r="AG66" s="5">
        <f>COUNTIFS(   N4:N1440,"2022", D4:D1440,"Estratografía y Sedimentología")</f>
        <v>0</v>
      </c>
      <c r="AH66" s="5">
        <f>COUNTIFS(   D4:D1440,"Estratografía y Sedimentología",G4:G1440,"Sí")</f>
        <v>0</v>
      </c>
      <c r="AI66" s="5">
        <f>COUNTIFS(   D4:D1440,"Estratografía y Sedimentología",G4:G1440,"No")</f>
        <v>1</v>
      </c>
      <c r="AJ66" s="5">
        <f>SUMIFS( E4:E1440, D4:D1440,"Estratografía y Sedimentología",G4:G1440,"Sí")</f>
        <v>0</v>
      </c>
      <c r="AK66" s="5">
        <f>SUMIFS( E4:E1440, D4:D1440,"Estratografía y Sedimentología",G4:G1440,"No")</f>
        <v>2</v>
      </c>
      <c r="AL66" s="5">
        <f>COUNTIFS(   D4:D1440,"Estratografía y Sedimentología",H4:H1440,"Sí")</f>
        <v>0</v>
      </c>
      <c r="AM66" s="5">
        <f>COUNTIFS(   D4:D1440,"Estratografía y Sedimentología",I4:I1440,"Sí")</f>
        <v>0</v>
      </c>
      <c r="AN66" s="5">
        <f>COUNTIFS(   D4:D1440,"Estratografía y Sedimentología",I4:I1440,"No")</f>
        <v>1</v>
      </c>
      <c r="AO66" s="5">
        <f>SUMIFS( E4:E1440, D4:D1440,"Estratografía y Sedimentología",I4:I1440,"Sí")</f>
        <v>0</v>
      </c>
      <c r="AP66" s="5">
        <f>SUMIFS( E4:E1440, D4:D1440,"Estratografía y Sedimentología",I4:I1440,"No")</f>
        <v>2</v>
      </c>
      <c r="AQ66" s="5">
        <f>COUNTIFS(   D4:D1440,"Estratografía y Sedimentología",J4:J1440,"Sí")</f>
        <v>1</v>
      </c>
      <c r="AR66" s="5">
        <f>COUNTIFS(   D4:D1440,"Estratografía y Sedimentología",K4:K1440,"Sí")</f>
        <v>0</v>
      </c>
      <c r="AS66" s="5">
        <f>COUNTIFS(   D4:D1440,"Estratografía y Sedimentología",L4:L1440,"Sí")</f>
        <v>0</v>
      </c>
      <c r="AT66" s="5">
        <f>SUMIFS( E4:E1440, D4:D1440,"Estratografía y Sedimentología")</f>
        <v>2</v>
      </c>
      <c r="AU66" s="5">
        <f>SUMIFS( E4:E1440, F4:F1440,"Hombre", D4:D1440,"Estratografía y Sedimentología")</f>
        <v>2</v>
      </c>
      <c r="AV66" s="5">
        <f>SUMIFS( E4:E1440, F4:F1440,"Mujer", D4:D1440,"Estratografía y Sedimentología")</f>
        <v>0</v>
      </c>
      <c r="AW66" s="19">
        <f>SUMIFS( E4:E1440, A4:A1440,"2018", D4:D1440,"Estratografía y Sedimentología")</f>
        <v>0</v>
      </c>
      <c r="AX66" s="5">
        <f>SUMIFS( E4:E1440, A4:A1440,"2019", D4:D1440,"Estratografía y Sedimentología")</f>
        <v>0</v>
      </c>
      <c r="AY66" s="5">
        <f>SUMIFS( E4:E1440, A4:A1440,"2020", D4:D1440,"Estratografía y Sedimentología")</f>
        <v>2</v>
      </c>
      <c r="AZ66" s="5">
        <f>SUMIFS( E4:E1440, A4:A1440,"2021", D4:D1440,"Estratografía y Sedimentología")</f>
        <v>0</v>
      </c>
      <c r="BA66" s="5">
        <f>SUMIFS( E4:E1440, A4:A1440,"2022", D4:D1440,"Estratografía y Sedimentología")</f>
        <v>0</v>
      </c>
      <c r="BB66" s="19">
        <f>SUMIFS( E4:E1440, N4:N1440,"2018", D4:D1440,"Estratografía y Sedimentología")</f>
        <v>0</v>
      </c>
      <c r="BC66" s="5">
        <f>SUMIFS( E4:E1440, N4:N1440,"2019", D4:D1440,"Estratografía y Sedimentología")</f>
        <v>0</v>
      </c>
      <c r="BD66" s="5">
        <f>SUMIFS( E4:E1440, N4:N1440,"2020", D4:D1440,"Estratografía y Sedimentología")</f>
        <v>2</v>
      </c>
      <c r="BE66" s="5">
        <f>SUMIFS( E4:E1440, N4:N1440,"2021", D4:D1440,"Estratografía y Sedimentología")</f>
        <v>0</v>
      </c>
      <c r="BF66" s="5">
        <f>SUMIFS( E4:E1440, N4:N1440,"2022", D4:D1440,"Estratografía y Sedimentología")</f>
        <v>0</v>
      </c>
      <c r="BG66" s="14">
        <f>AVERAGEIFS( E4:E1440, D4:D1440,"Estratografía y Sedimentología")</f>
        <v>2</v>
      </c>
      <c r="BH66" s="14"/>
      <c r="BI66" s="14"/>
      <c r="BJ66" s="14"/>
      <c r="BK66" s="14"/>
      <c r="BL66" s="37"/>
      <c r="BM66" s="14"/>
      <c r="BN66" s="14"/>
      <c r="BO66" s="14"/>
      <c r="BP66" s="14"/>
      <c r="BQ66" s="14"/>
      <c r="BR66" s="14"/>
    </row>
    <row r="67" spans="1:70" ht="15" customHeight="1">
      <c r="A67" s="24">
        <v>2018</v>
      </c>
      <c r="B67" s="24" t="s">
        <v>136</v>
      </c>
      <c r="C67" s="24" t="s">
        <v>176</v>
      </c>
      <c r="D67" s="24" t="s">
        <v>180</v>
      </c>
      <c r="E67" s="23">
        <v>4</v>
      </c>
      <c r="F67" s="24" t="s">
        <v>207</v>
      </c>
      <c r="G67" s="24" t="s">
        <v>225</v>
      </c>
      <c r="H67" s="23" t="s">
        <v>226</v>
      </c>
      <c r="I67" s="24" t="s">
        <v>226</v>
      </c>
      <c r="J67" s="23" t="s">
        <v>226</v>
      </c>
      <c r="K67" s="24" t="s">
        <v>226</v>
      </c>
      <c r="L67" s="23"/>
      <c r="M67" s="26" t="s">
        <v>273</v>
      </c>
      <c r="N67" s="24">
        <v>2018</v>
      </c>
      <c r="O67" s="51" t="s">
        <v>282</v>
      </c>
      <c r="P67" s="52"/>
      <c r="Q67" s="52"/>
      <c r="R67" s="52"/>
      <c r="S67" s="52"/>
      <c r="T67" s="53"/>
      <c r="U67" s="5">
        <f>COUNTIFS(   D5:D1441,"Edafología")</f>
        <v>3</v>
      </c>
      <c r="V67" s="5">
        <f>COUNTIFS(   D5:D1441,"Edafología",F5:F1441,"Hombre")</f>
        <v>2</v>
      </c>
      <c r="W67" s="5">
        <f>COUNTIFS(   D5:D1441,"Edafología",F5:F1441,"Mujer")</f>
        <v>1</v>
      </c>
      <c r="X67" s="19">
        <f>COUNTIFS(   A5:A1441,"2018", D5:D1441,"Edafología")</f>
        <v>1</v>
      </c>
      <c r="Y67" s="5">
        <f>COUNTIFS(   A5:A1441,"2019", D5:D1441,"Edafología")</f>
        <v>0</v>
      </c>
      <c r="Z67" s="5">
        <f>COUNTIFS(   A5:A1441,"2020", D5:D1441,"Edafología")</f>
        <v>0</v>
      </c>
      <c r="AA67" s="5">
        <f>COUNTIFS(   A5:A1441,"2021", D5:D1441,"Edafología")</f>
        <v>2</v>
      </c>
      <c r="AB67" s="5">
        <f>COUNTIFS(  A5:A1441,"2022", D5:D1441,"Edafología")</f>
        <v>0</v>
      </c>
      <c r="AC67" s="19">
        <f>COUNTIFS(   N5:N1441,"2018", D5:D1441,"Edafología")</f>
        <v>1</v>
      </c>
      <c r="AD67" s="5">
        <f>COUNTIFS(   N5:N1441,"2019", D5:D1441,"Edafología")</f>
        <v>0</v>
      </c>
      <c r="AE67" s="5">
        <f>COUNTIFS(   N5:N1441,"2020", D5:D1441,"Edafología")</f>
        <v>0</v>
      </c>
      <c r="AF67" s="5">
        <f>COUNTIFS(   N5:N1441,"2021", D5:D1441,"Edafología")</f>
        <v>1</v>
      </c>
      <c r="AG67" s="5">
        <f>COUNTIFS(   N5:N1441,"2022", D5:D1441,"Edafología")</f>
        <v>1</v>
      </c>
      <c r="AH67" s="5">
        <f>COUNTIFS(   D5:D1441,"Edafología",G5:G1441,"Sí")</f>
        <v>1</v>
      </c>
      <c r="AI67" s="5">
        <f>COUNTIFS(   D5:D1441,"Edafología",G5:G1441,"No")</f>
        <v>2</v>
      </c>
      <c r="AJ67" s="5">
        <f>SUMIFS( E5:E1441, D5:D1441,"Edafología",G5:G1441,"Sí")</f>
        <v>5</v>
      </c>
      <c r="AK67" s="5">
        <f>SUMIFS( E5:E1441, D5:D1441,"Edafología",G5:G1441,"No")</f>
        <v>3</v>
      </c>
      <c r="AL67" s="5">
        <f>COUNTIFS(   D5:D1441,"Edafología",H5:H1441,"Sí")</f>
        <v>3</v>
      </c>
      <c r="AM67" s="5">
        <f>COUNTIFS(   D5:D1441,"Edafología",I5:I1441,"Sí")</f>
        <v>1</v>
      </c>
      <c r="AN67" s="5">
        <f>COUNTIFS(   D5:D1441,"Edafología",I5:I1441,"No")</f>
        <v>2</v>
      </c>
      <c r="AO67" s="5">
        <f>SUMIFS( E5:E1441, D5:D1441,"Edafología",I5:I1441,"Sí")</f>
        <v>5</v>
      </c>
      <c r="AP67" s="5">
        <f>SUMIFS( E5:E1441, D5:D1441,"Edafología",I5:I1441,"No")</f>
        <v>3</v>
      </c>
      <c r="AQ67" s="5">
        <f>COUNTIFS(   D5:D1441,"Edafología",J5:J1441,"Sí")</f>
        <v>3</v>
      </c>
      <c r="AR67" s="5">
        <f>COUNTIFS(   D5:D1441,"Edafología",K5:K1441,"Sí")</f>
        <v>1</v>
      </c>
      <c r="AS67" s="5">
        <f>COUNTIFS(   D5:D1441,"Edafología",L5:L1441,"Sí")</f>
        <v>0</v>
      </c>
      <c r="AT67" s="5">
        <f>SUMIFS( E5:E1441, D5:D1441,"Edafología")</f>
        <v>8</v>
      </c>
      <c r="AU67" s="5">
        <f>SUMIFS( E5:E1441, F5:F1441,"Hombre", D5:D1441,"Edafología")</f>
        <v>6</v>
      </c>
      <c r="AV67" s="5">
        <f>SUMIFS( E5:E1441, F5:F1441,"Mujer", D5:D1441,"Edafología")</f>
        <v>2</v>
      </c>
      <c r="AW67" s="19">
        <f>SUMIFS( E5:E1441, A5:A1441,"2018", D5:D1441,"Edafología")</f>
        <v>1</v>
      </c>
      <c r="AX67" s="5">
        <f>SUMIFS( E5:E1441, A5:A1441,"2019", D5:D1441,"Edafología")</f>
        <v>0</v>
      </c>
      <c r="AY67" s="5">
        <f>SUMIFS( E5:E1441, A5:A1441,"2020", D5:D1441,"Edafología")</f>
        <v>0</v>
      </c>
      <c r="AZ67" s="5">
        <f>SUMIFS( E5:E1441, A5:A1441,"2021", D5:D1441,"Edafología")</f>
        <v>7</v>
      </c>
      <c r="BA67" s="5">
        <f>SUMIFS( E5:E1441, A5:A1441,"2022", D5:D1441,"Edafología")</f>
        <v>0</v>
      </c>
      <c r="BB67" s="19">
        <f>SUMIFS( E5:E1441, N5:N1441,"2018", D5:D1441,"Edafología")</f>
        <v>1</v>
      </c>
      <c r="BC67" s="5">
        <f>SUMIFS( E5:E1441, N5:N1441,"2019", D5:D1441,"Edafología")</f>
        <v>0</v>
      </c>
      <c r="BD67" s="5">
        <f>SUMIFS( E5:E1441, N5:N1441,"2020", D5:D1441,"Edafología")</f>
        <v>0</v>
      </c>
      <c r="BE67" s="5">
        <f>SUMIFS( E5:E1441, N5:N1441,"2021", D5:D1441,"Edafología")</f>
        <v>2</v>
      </c>
      <c r="BF67" s="5">
        <f>SUMIFS( E5:E1441, N5:N1441,"2022", D5:D1441,"Edafología")</f>
        <v>5</v>
      </c>
      <c r="BG67" s="14">
        <f>AVERAGEIFS( E5:E1441, D5:D1441,"Edafología")</f>
        <v>2.6666666666666665</v>
      </c>
      <c r="BH67" s="14"/>
      <c r="BI67" s="14"/>
      <c r="BJ67" s="14"/>
      <c r="BK67" s="14"/>
      <c r="BL67" s="37"/>
      <c r="BM67" s="14"/>
      <c r="BN67" s="14"/>
      <c r="BO67" s="14"/>
      <c r="BP67" s="14"/>
      <c r="BQ67" s="14"/>
      <c r="BR67" s="14"/>
    </row>
    <row r="68" spans="1:70" ht="15" customHeight="1">
      <c r="A68" s="24">
        <v>2018</v>
      </c>
      <c r="B68" s="24" t="s">
        <v>136</v>
      </c>
      <c r="C68" s="24" t="s">
        <v>176</v>
      </c>
      <c r="D68" s="24" t="s">
        <v>183</v>
      </c>
      <c r="E68" s="23"/>
      <c r="F68" s="24" t="s">
        <v>207</v>
      </c>
      <c r="G68" s="24" t="s">
        <v>225</v>
      </c>
      <c r="H68" s="23" t="s">
        <v>226</v>
      </c>
      <c r="I68" s="24" t="s">
        <v>225</v>
      </c>
      <c r="J68" s="23" t="s">
        <v>226</v>
      </c>
      <c r="K68" s="24" t="s">
        <v>226</v>
      </c>
      <c r="L68" s="23"/>
      <c r="M68" s="26" t="s">
        <v>274</v>
      </c>
      <c r="N68" s="24">
        <v>2018</v>
      </c>
      <c r="O68" s="67" t="s">
        <v>81</v>
      </c>
      <c r="P68" s="68"/>
      <c r="Q68" s="68"/>
      <c r="R68" s="68"/>
      <c r="S68" s="68"/>
      <c r="T68" s="69"/>
      <c r="U68" s="5">
        <f>COUNTIFS(   D4:D1440,"Geología estructural y Tectónica")</f>
        <v>3</v>
      </c>
      <c r="V68" s="5">
        <f>COUNTIFS(   D4:D1440,"Geología estructural y Tectónica",F4:F1440,"Hombre")</f>
        <v>2</v>
      </c>
      <c r="W68" s="5">
        <f>COUNTIFS(   D4:D1440,"Geología estructural y Tectónica",F4:F1440,"Mujer")</f>
        <v>1</v>
      </c>
      <c r="X68" s="19">
        <f>COUNTIFS(   A4:A1440,"2018", D4:D1440,"Geología estructural y Tectónica")</f>
        <v>1</v>
      </c>
      <c r="Y68" s="5">
        <f>COUNTIFS(   A4:A1440,"2019", D4:D1440,"Geología estructural y Tectónica")</f>
        <v>0</v>
      </c>
      <c r="Z68" s="5">
        <f>COUNTIFS(   A4:A1440,"2020", D4:D1440,"Geología estructural y Tectónica")</f>
        <v>0</v>
      </c>
      <c r="AA68" s="5">
        <f>COUNTIFS(   A4:A1440,"2021", D4:D1440,"Geología estructural y Tectónica")</f>
        <v>2</v>
      </c>
      <c r="AB68" s="5">
        <f>COUNTIFS(  A4:A1440,"2022", D4:D1440,"Geología estructural y Tectónica")</f>
        <v>0</v>
      </c>
      <c r="AC68" s="19">
        <f>COUNTIFS(   N4:N1440,"2018", D4:D1440,"Geología estructural y Tectónica")</f>
        <v>0</v>
      </c>
      <c r="AD68" s="5">
        <f>COUNTIFS(   N4:N1440,"2019", D4:D1440,"Geología estructural y Tectónica")</f>
        <v>1</v>
      </c>
      <c r="AE68" s="5">
        <f>COUNTIFS(   N4:N1440,"2020", D4:D1440,"Geología estructural y Tectónica")</f>
        <v>0</v>
      </c>
      <c r="AF68" s="5">
        <f>COUNTIFS(   N4:N1440,"2021", D4:D1440,"Geología estructural y Tectónica")</f>
        <v>1</v>
      </c>
      <c r="AG68" s="5">
        <f>COUNTIFS(   N4:N1440,"2022", D4:D1440,"Geología estructural y Tectónica")</f>
        <v>1</v>
      </c>
      <c r="AH68" s="5">
        <f>COUNTIFS(   D4:D1440,"Geología estructural y Tectónica",G4:G1440,"Sí")</f>
        <v>0</v>
      </c>
      <c r="AI68" s="5">
        <f>COUNTIFS(   D4:D1440,"Geología estructural y Tectónica",G4:G1440,"No")</f>
        <v>3</v>
      </c>
      <c r="AJ68" s="5">
        <f>SUMIFS( E4:E1440, D4:D1440,"Geología estructural y Tectónica",G4:G1440,"Sí")</f>
        <v>0</v>
      </c>
      <c r="AK68" s="5">
        <f>SUMIFS( E4:E1440, D4:D1440,"Geología estructural y Tectónica",G4:G1440,"No")</f>
        <v>9</v>
      </c>
      <c r="AL68" s="5">
        <f>COUNTIFS(   D4:D1440,"Geología estructural y Tectónica",H4:H1440,"Sí")</f>
        <v>2</v>
      </c>
      <c r="AM68" s="5">
        <f>COUNTIFS(   D4:D1440,"Geología estructural y Tectónica",I4:I1440,"Sí")</f>
        <v>2</v>
      </c>
      <c r="AN68" s="5">
        <f>COUNTIFS(   D4:D1440,"Geología estructural y Tectónica",I4:I1440,"No")</f>
        <v>1</v>
      </c>
      <c r="AO68" s="5">
        <f>SUMIFS( E4:E1440, D4:D1440,"Geología estructural y Tectónica",I4:I1440,"Sí")</f>
        <v>9</v>
      </c>
      <c r="AP68" s="5">
        <f>SUMIFS( E4:E1440, D4:D1440,"Geología estructural y Tectónica",I4:I1440,"No")</f>
        <v>0</v>
      </c>
      <c r="AQ68" s="5">
        <f>COUNTIFS(   D4:D1440,"Geología estructural y Tectónica",J4:J1440,"Sí")</f>
        <v>3</v>
      </c>
      <c r="AR68" s="5">
        <f>COUNTIFS(   D4:D1440,"Geología estructural y Tectónica",K4:K1440,"Sí")</f>
        <v>1</v>
      </c>
      <c r="AS68" s="5">
        <f>COUNTIFS(   D4:D1440,"Geología estructural y Tectónica",L4:L1440,"Sí")</f>
        <v>0</v>
      </c>
      <c r="AT68" s="5">
        <f>SUMIFS( E4:E1440, D4:D1440,"Geología estructural y Tectónica")</f>
        <v>9</v>
      </c>
      <c r="AU68" s="5">
        <f>SUMIFS( E4:E1440, F4:F1440,"Hombre", D4:D1440,"Geología estructural y Tectónica")</f>
        <v>4</v>
      </c>
      <c r="AV68" s="5">
        <f>SUMIFS( E4:E1440, F4:F1440,"Mujer", D4:D1440,"Geología estructural y Tectónica")</f>
        <v>5</v>
      </c>
      <c r="AW68" s="19">
        <f>SUMIFS( E4:E1440, A4:A1440,"2018", D4:D1440,"Geología estructural y Tectónica")</f>
        <v>4</v>
      </c>
      <c r="AX68" s="5">
        <f>SUMIFS( E4:E1440, A4:A1440,"2019", D4:D1440,"Geología estructural y Tectónica")</f>
        <v>0</v>
      </c>
      <c r="AY68" s="5">
        <f>SUMIFS( E4:E1440, A4:A1440,"2020", D4:D1440,"Geología estructural y Tectónica")</f>
        <v>0</v>
      </c>
      <c r="AZ68" s="5">
        <f>SUMIFS( E4:E1440, A4:A1440,"2021", D4:D1440,"Geología estructural y Tectónica")</f>
        <v>5</v>
      </c>
      <c r="BA68" s="5">
        <f>SUMIFS( E4:E1440, A4:A1440,"2022", D4:D1440,"Geología estructural y Tectónica")</f>
        <v>0</v>
      </c>
      <c r="BB68" s="19">
        <f>SUMIFS( E4:E1440, N4:N1440,"2018", D4:D1440,"Geología estructural y Tectónica")</f>
        <v>0</v>
      </c>
      <c r="BC68" s="5">
        <f>SUMIFS( E4:E1440, N4:N1440,"2019", D4:D1440,"Geología estructural y Tectónica")</f>
        <v>4</v>
      </c>
      <c r="BD68" s="5">
        <f>SUMIFS( E4:E1440, N4:N1440,"2020", D4:D1440,"Geología estructural y Tectónica")</f>
        <v>0</v>
      </c>
      <c r="BE68" s="5">
        <f>SUMIFS( E4:E1440, N4:N1440,"2021", D4:D1440,"Geología estructural y Tectónica")</f>
        <v>5</v>
      </c>
      <c r="BF68" s="5">
        <f>SUMIFS( E4:E1440, N4:N1440,"2022", D4:D1440,"Geología estructural y Tectónica")</f>
        <v>0</v>
      </c>
      <c r="BG68" s="14">
        <f>AVERAGEIFS( E4:E1440, D4:D1440,"Geología estructural y Tectónica")</f>
        <v>4.5</v>
      </c>
      <c r="BH68" s="14">
        <v>0</v>
      </c>
      <c r="BI68" s="14">
        <v>0</v>
      </c>
      <c r="BJ68" s="14">
        <v>0</v>
      </c>
      <c r="BK68" s="14">
        <v>0</v>
      </c>
      <c r="BL68" s="37" t="e">
        <f>AVERAGEIFS( E4:E1440, A4:A1440,"2022", D4:D1440,"Geología estructural y Tectónica")</f>
        <v>#DIV/0!</v>
      </c>
      <c r="BM68" s="14">
        <v>4</v>
      </c>
      <c r="BN68" s="14">
        <v>0</v>
      </c>
      <c r="BO68" s="14">
        <v>0</v>
      </c>
      <c r="BP68" s="14">
        <v>0</v>
      </c>
      <c r="BQ68" s="14">
        <v>0</v>
      </c>
      <c r="BR68" s="14">
        <v>4</v>
      </c>
    </row>
    <row r="69" spans="1:70" ht="15" customHeight="1">
      <c r="A69" s="24">
        <v>2018</v>
      </c>
      <c r="B69" s="24" t="s">
        <v>136</v>
      </c>
      <c r="C69" s="24" t="s">
        <v>146</v>
      </c>
      <c r="D69" s="24" t="s">
        <v>151</v>
      </c>
      <c r="E69" s="23">
        <v>1</v>
      </c>
      <c r="F69" s="24" t="s">
        <v>207</v>
      </c>
      <c r="G69" s="24" t="s">
        <v>225</v>
      </c>
      <c r="H69" s="23" t="s">
        <v>226</v>
      </c>
      <c r="I69" s="24" t="s">
        <v>226</v>
      </c>
      <c r="J69" s="23" t="s">
        <v>226</v>
      </c>
      <c r="K69" s="24" t="s">
        <v>226</v>
      </c>
      <c r="L69" s="23"/>
      <c r="M69" s="26" t="s">
        <v>274</v>
      </c>
      <c r="N69" s="24">
        <v>2018</v>
      </c>
      <c r="O69" s="67" t="s">
        <v>84</v>
      </c>
      <c r="P69" s="68"/>
      <c r="Q69" s="68"/>
      <c r="R69" s="68"/>
      <c r="S69" s="68"/>
      <c r="T69" s="69"/>
      <c r="U69" s="5">
        <f>COUNTIFS(   D4:D1440,"Geoquímica")</f>
        <v>4</v>
      </c>
      <c r="V69" s="5">
        <f>COUNTIFS(   D4:D1440,"Geoquímica",F4:F1440,"Hombre")</f>
        <v>1</v>
      </c>
      <c r="W69" s="5">
        <f>COUNTIFS(   D4:D1440,"Geoquímica",F4:F1440,"Mujer")</f>
        <v>3</v>
      </c>
      <c r="X69" s="19">
        <f>COUNTIFS(   A4:A1440,"2018", D4:D1440,"Geoquímica")</f>
        <v>3</v>
      </c>
      <c r="Y69" s="5">
        <f>COUNTIFS(   A4:A1440,"2019", D4:D1440,"Geoquímica")</f>
        <v>0</v>
      </c>
      <c r="Z69" s="5">
        <f>COUNTIFS(   A4:A1440,"2020", D4:D1440,"Geoquímica")</f>
        <v>1</v>
      </c>
      <c r="AA69" s="5">
        <f>COUNTIFS(   A4:A1440,"2021", D4:D1440,"Geoquímica")</f>
        <v>0</v>
      </c>
      <c r="AB69" s="5">
        <f>COUNTIFS(  A4:A1440,"2022", D4:D1440,"Geoquímica")</f>
        <v>0</v>
      </c>
      <c r="AC69" s="19">
        <f>COUNTIFS(   N4:N1440,"2018", D4:D1440,"Geoquímica")</f>
        <v>1</v>
      </c>
      <c r="AD69" s="5">
        <f>COUNTIFS(   N4:N1440,"2019", D4:D1440,"Geoquímica")</f>
        <v>2</v>
      </c>
      <c r="AE69" s="5">
        <f>COUNTIFS(   N4:N1440,"2020", D4:D1440,"Geoquímica")</f>
        <v>0</v>
      </c>
      <c r="AF69" s="5">
        <f>COUNTIFS(   N4:N1440,"2021", D4:D1440,"Geoquímica")</f>
        <v>1</v>
      </c>
      <c r="AG69" s="5">
        <f>COUNTIFS(   N4:N1440,"2022", D4:D1440,"Geoquímica")</f>
        <v>0</v>
      </c>
      <c r="AH69" s="5">
        <f>COUNTIFS(   D4:D1440,"Geoquímica",G4:G1440,"Sí")</f>
        <v>0</v>
      </c>
      <c r="AI69" s="5">
        <f>COUNTIFS(   D4:D1440,"Geoquímica",G4:G1440,"No")</f>
        <v>4</v>
      </c>
      <c r="AJ69" s="5">
        <f>SUMIFS( E4:E1440, D4:D1440,"Geoquímica",G4:G1440,"Sí")</f>
        <v>0</v>
      </c>
      <c r="AK69" s="5">
        <f>SUMIFS( E4:E1440, D4:D1440,"Geoquímica",G4:G1440,"No")</f>
        <v>21</v>
      </c>
      <c r="AL69" s="5">
        <f>COUNTIFS(   D4:D1440,"Geoquímica",H4:H1440,"Sí")</f>
        <v>3</v>
      </c>
      <c r="AM69" s="5">
        <f>COUNTIFS(   D4:D1440,"Geoquímica",I4:I1440,"Sí")</f>
        <v>2</v>
      </c>
      <c r="AN69" s="5">
        <f>COUNTIFS(   D4:D1440,"Geoquímica",I4:I1440,"No")</f>
        <v>2</v>
      </c>
      <c r="AO69" s="5">
        <f>SUMIFS( E4:E1440, D4:D1440,"Geoquímica",I4:I1440,"Sí")</f>
        <v>7</v>
      </c>
      <c r="AP69" s="5">
        <f>SUMIFS( E4:E1440, D4:D1440,"Geoquímica",I4:I1440,"No")</f>
        <v>14</v>
      </c>
      <c r="AQ69" s="5">
        <f>COUNTIFS(   D4:D1440,"Geoquímica",J4:J1440,"Sí")</f>
        <v>4</v>
      </c>
      <c r="AR69" s="5">
        <f>COUNTIFS(   D4:D1440,"Geoquímica",K4:K1440,"Sí")</f>
        <v>3</v>
      </c>
      <c r="AS69" s="5">
        <f>COUNTIFS(   D4:D1440,"Geoquímica",L4:L1440,"Sí")</f>
        <v>0</v>
      </c>
      <c r="AT69" s="5">
        <f>SUMIFS( E4:E1440, D4:D1440,"Geoquímica")</f>
        <v>21</v>
      </c>
      <c r="AU69" s="5">
        <f>SUMIFS( E4:E1440, F4:F1440,"Hombre", D4:D1440,"Geoquímica")</f>
        <v>10</v>
      </c>
      <c r="AV69" s="5">
        <f>SUMIFS( E4:E1440, F4:F1440,"Mujer", D4:D1440,"Geoquímica")</f>
        <v>11</v>
      </c>
      <c r="AW69" s="19">
        <f>SUMIFS( E4:E1440, A4:A1440,"2018", D4:D1440,"Geoquímica")</f>
        <v>21</v>
      </c>
      <c r="AX69" s="5">
        <f>SUMIFS( E4:E1440, A4:A1440,"2019", D4:D1440,"Geoquímica")</f>
        <v>0</v>
      </c>
      <c r="AY69" s="5">
        <f>SUMIFS( E4:E1440, A4:A1440,"2020", D4:D1440,"Geoquímica")</f>
        <v>0</v>
      </c>
      <c r="AZ69" s="5">
        <f>SUMIFS( E4:E1440, A4:A1440,"2021", D4:D1440,"Geoquímica")</f>
        <v>0</v>
      </c>
      <c r="BA69" s="5">
        <f>SUMIFS( E4:E1440, A4:A1440,"2022", D4:D1440,"Geoquímica")</f>
        <v>0</v>
      </c>
      <c r="BB69" s="19">
        <f>SUMIFS( E4:E1440, N4:N1440,"2018", D4:D1440,"Geoquímica")</f>
        <v>7</v>
      </c>
      <c r="BC69" s="5">
        <f>SUMIFS( E4:E1440, N4:N1440,"2019", D4:D1440,"Geoquímica")</f>
        <v>14</v>
      </c>
      <c r="BD69" s="5">
        <f>SUMIFS( E4:E1440, N4:N1440,"2020", D4:D1440,"Geoquímica")</f>
        <v>0</v>
      </c>
      <c r="BE69" s="5">
        <f>SUMIFS( E4:E1440, N4:N1440,"2021", D4:D1440,"Geoquímica")</f>
        <v>0</v>
      </c>
      <c r="BF69" s="5">
        <f>SUMIFS( E4:E1440, N4:N1440,"2022", D4:D1440,"Geoquímica")</f>
        <v>0</v>
      </c>
      <c r="BG69" s="14">
        <f>AVERAGEIFS( E4:E1440, D4:D1440,"Geoquímica")</f>
        <v>7</v>
      </c>
      <c r="BH69" s="14">
        <v>0</v>
      </c>
      <c r="BI69" s="14">
        <v>0</v>
      </c>
      <c r="BJ69" s="14">
        <v>0</v>
      </c>
      <c r="BK69" s="14">
        <v>0</v>
      </c>
      <c r="BL69" s="37" t="e">
        <f>AVERAGEIFS( E4:E1440, A4:A1440,"2022", D4:D1440,"Geoquímica")</f>
        <v>#DIV/0!</v>
      </c>
      <c r="BM69" s="14">
        <v>3</v>
      </c>
      <c r="BN69" s="14">
        <v>0</v>
      </c>
      <c r="BO69" s="14">
        <v>0</v>
      </c>
      <c r="BP69" s="14">
        <v>0</v>
      </c>
      <c r="BQ69" s="14">
        <v>0</v>
      </c>
      <c r="BR69" s="14">
        <v>3</v>
      </c>
    </row>
    <row r="70" spans="1:70" ht="15" customHeight="1">
      <c r="A70" s="24">
        <v>2018</v>
      </c>
      <c r="B70" s="24" t="s">
        <v>4</v>
      </c>
      <c r="C70" s="24" t="s">
        <v>5</v>
      </c>
      <c r="D70" s="24" t="s">
        <v>12</v>
      </c>
      <c r="E70" s="23">
        <v>9</v>
      </c>
      <c r="F70" s="24" t="s">
        <v>207</v>
      </c>
      <c r="G70" s="24" t="s">
        <v>225</v>
      </c>
      <c r="H70" s="23" t="s">
        <v>226</v>
      </c>
      <c r="I70" s="24" t="s">
        <v>225</v>
      </c>
      <c r="J70" s="23" t="s">
        <v>226</v>
      </c>
      <c r="K70" s="24" t="s">
        <v>226</v>
      </c>
      <c r="L70" s="23"/>
      <c r="M70" s="26" t="s">
        <v>274</v>
      </c>
      <c r="N70" s="24">
        <v>2018</v>
      </c>
      <c r="O70" s="67" t="s">
        <v>87</v>
      </c>
      <c r="P70" s="68"/>
      <c r="Q70" s="68"/>
      <c r="R70" s="68"/>
      <c r="S70" s="68"/>
      <c r="T70" s="69"/>
      <c r="U70" s="5">
        <f>COUNTIFS(   D4:D1440,"Mineralogía")</f>
        <v>3</v>
      </c>
      <c r="V70" s="5">
        <f>COUNTIFS(   D4:D1440,"Mineralogía",F4:F1440,"Hombre")</f>
        <v>2</v>
      </c>
      <c r="W70" s="5">
        <f>COUNTIFS(   D4:D1440,"Mineralogía",F4:F1440,"Mujer")</f>
        <v>1</v>
      </c>
      <c r="X70" s="19">
        <f>COUNTIFS(   A4:A1440,"2018", D4:D1440,"Mineralogía")</f>
        <v>0</v>
      </c>
      <c r="Y70" s="5">
        <f>COUNTIFS(   A4:A1440,"2019", D4:D1440,"Mineralogía")</f>
        <v>3</v>
      </c>
      <c r="Z70" s="5">
        <f>COUNTIFS(   A4:A1440,"2020", D4:D1440,"Mineralogía")</f>
        <v>0</v>
      </c>
      <c r="AA70" s="5">
        <f>COUNTIFS(   A4:A1440,"2021", D4:D1440,"Mineralogía")</f>
        <v>0</v>
      </c>
      <c r="AB70" s="5">
        <f>COUNTIFS(  A4:A1440,"2022", D4:D1440,"Mineralogía")</f>
        <v>0</v>
      </c>
      <c r="AC70" s="19">
        <f>COUNTIFS(   N4:N1440,"2018", D4:D1440,"Mineralogía")</f>
        <v>0</v>
      </c>
      <c r="AD70" s="5">
        <f>COUNTIFS(   N4:N1440,"2019", D4:D1440,"Mineralogía")</f>
        <v>0</v>
      </c>
      <c r="AE70" s="5">
        <f>COUNTIFS(   N4:N1440,"2020", D4:D1440,"Mineralogía")</f>
        <v>3</v>
      </c>
      <c r="AF70" s="5">
        <f>COUNTIFS(   N4:N1440,"2021", D4:D1440,"Mineralogía")</f>
        <v>0</v>
      </c>
      <c r="AG70" s="5">
        <f>COUNTIFS(   N4:N1440,"2022", D4:D1440,"Mineralogía")</f>
        <v>0</v>
      </c>
      <c r="AH70" s="5">
        <f>COUNTIFS(   D4:D1440,"Mineralogía",G4:G1440,"Sí")</f>
        <v>0</v>
      </c>
      <c r="AI70" s="5">
        <f>COUNTIFS(   D4:D1440,"Mineralogía",G4:G1440,"No")</f>
        <v>3</v>
      </c>
      <c r="AJ70" s="5">
        <f>SUMIFS( E4:E1440, D4:D1440,"Mineralogía",G4:G1440,"Sí")</f>
        <v>0</v>
      </c>
      <c r="AK70" s="5">
        <f>SUMIFS( E4:E1440, D4:D1440,"Mineralogía",G4:G1440,"No")</f>
        <v>9</v>
      </c>
      <c r="AL70" s="5">
        <f>COUNTIFS(   D4:D1440,"Mineralogía",H4:H1440,"Sí")</f>
        <v>2</v>
      </c>
      <c r="AM70" s="5">
        <f>COUNTIFS(   D4:D1440,"Mineralogía",I4:I1440,"Sí")</f>
        <v>1</v>
      </c>
      <c r="AN70" s="5">
        <f>COUNTIFS(   D4:D1440,"Mineralogía",I4:I1440,"No")</f>
        <v>2</v>
      </c>
      <c r="AO70" s="5">
        <f>SUMIFS( E4:E1440, D4:D1440,"Mineralogía",I4:I1440,"Sí")</f>
        <v>5</v>
      </c>
      <c r="AP70" s="5">
        <f>SUMIFS( E4:E1440, D4:D1440,"Mineralogía",I4:I1440,"No")</f>
        <v>4</v>
      </c>
      <c r="AQ70" s="5">
        <f>COUNTIFS(   D4:D1440,"Mineralogía",J4:J1440,"Sí")</f>
        <v>3</v>
      </c>
      <c r="AR70" s="5">
        <f>COUNTIFS(   D4:D1440,"Mineralogía",K4:K1440,"Sí")</f>
        <v>0</v>
      </c>
      <c r="AS70" s="5">
        <f>COUNTIFS(   D4:D1440,"Mineralogía",L4:L1440,"Sí")</f>
        <v>0</v>
      </c>
      <c r="AT70" s="5">
        <f>SUMIFS( E4:E1440, D4:D1440,"Mineralogía")</f>
        <v>9</v>
      </c>
      <c r="AU70" s="5">
        <f>SUMIFS( E4:E1440, F4:F1440,"Hombre", D4:D1440,"Mineralogía")</f>
        <v>5</v>
      </c>
      <c r="AV70" s="5">
        <f>SUMIFS( E4:E1440, F4:F1440,"Mujer", D4:D1440,"Mineralogía")</f>
        <v>4</v>
      </c>
      <c r="AW70" s="19">
        <f>SUMIFS( E4:E1440, A4:A1440,"2018", D4:D1440,"Mineralogía")</f>
        <v>0</v>
      </c>
      <c r="AX70" s="5">
        <f>SUMIFS( E4:E1440, A4:A1440,"2019", D4:D1440,"Mineralogía")</f>
        <v>9</v>
      </c>
      <c r="AY70" s="5">
        <f>SUMIFS( E4:E1440, A4:A1440,"2020", D4:D1440,"Mineralogía")</f>
        <v>0</v>
      </c>
      <c r="AZ70" s="5">
        <f>SUMIFS( E4:E1440, A4:A1440,"2021", D4:D1440,"Mineralogía")</f>
        <v>0</v>
      </c>
      <c r="BA70" s="5">
        <f>SUMIFS( E4:E1440, A4:A1440,"2022", D4:D1440,"Mineralogía")</f>
        <v>0</v>
      </c>
      <c r="BB70" s="19">
        <f>SUMIFS( E4:E1440, N4:N1440,"2018", D4:D1440,"Mineralogía")</f>
        <v>0</v>
      </c>
      <c r="BC70" s="5">
        <f>SUMIFS( E4:E1440, N4:N1440,"2019", D4:D1440,"Mineralogía")</f>
        <v>0</v>
      </c>
      <c r="BD70" s="5">
        <f>SUMIFS( E4:E1440, N4:N1440,"2020", D4:D1440,"Mineralogía")</f>
        <v>9</v>
      </c>
      <c r="BE70" s="5">
        <f>SUMIFS( E4:E1440, N4:N1440,"2021", D4:D1440,"Mineralogía")</f>
        <v>0</v>
      </c>
      <c r="BF70" s="5">
        <f>SUMIFS( E4:E1440, N4:N1440,"2022", D4:D1440,"Mineralogía")</f>
        <v>0</v>
      </c>
      <c r="BG70" s="14">
        <f>AVERAGEIFS( E4:E1440, D4:D1440,"Mineralogía")</f>
        <v>4.5</v>
      </c>
      <c r="BH70" s="14">
        <v>0</v>
      </c>
      <c r="BI70" s="14">
        <v>0</v>
      </c>
      <c r="BJ70" s="14" t="e">
        <f>AVERAGEIFS( E4:E1440, A4:A1440,"2020", D4:D1440,"Mineralogía")</f>
        <v>#DIV/0!</v>
      </c>
      <c r="BK70" s="14">
        <v>0</v>
      </c>
      <c r="BL70" s="37" t="e">
        <f>AVERAGEIFS( E4:E1440, A4:A1440,"2022", D4:D1440,"Mineralogía")</f>
        <v>#DIV/0!</v>
      </c>
      <c r="BM70" s="14">
        <v>11.5</v>
      </c>
      <c r="BN70" s="14">
        <v>0</v>
      </c>
      <c r="BO70" s="14">
        <v>0</v>
      </c>
      <c r="BP70" s="14">
        <v>4</v>
      </c>
      <c r="BQ70" s="14">
        <v>0</v>
      </c>
      <c r="BR70" s="14">
        <v>19</v>
      </c>
    </row>
    <row r="71" spans="1:70" ht="15" customHeight="1">
      <c r="A71" s="24">
        <v>2018</v>
      </c>
      <c r="B71" s="24" t="s">
        <v>78</v>
      </c>
      <c r="C71" s="24" t="s">
        <v>681</v>
      </c>
      <c r="D71" s="24"/>
      <c r="E71" s="23">
        <v>3</v>
      </c>
      <c r="F71" s="24" t="s">
        <v>207</v>
      </c>
      <c r="G71" s="24" t="s">
        <v>225</v>
      </c>
      <c r="H71" s="23" t="s">
        <v>226</v>
      </c>
      <c r="I71" s="24" t="s">
        <v>225</v>
      </c>
      <c r="J71" s="23" t="s">
        <v>226</v>
      </c>
      <c r="K71" s="24" t="s">
        <v>225</v>
      </c>
      <c r="L71" s="23"/>
      <c r="M71" s="26" t="s">
        <v>275</v>
      </c>
      <c r="N71" s="24">
        <v>2018</v>
      </c>
      <c r="O71" s="67" t="s">
        <v>85</v>
      </c>
      <c r="P71" s="68"/>
      <c r="Q71" s="68"/>
      <c r="R71" s="68"/>
      <c r="S71" s="68"/>
      <c r="T71" s="69"/>
      <c r="U71" s="5">
        <f>COUNTIFS(   D4:D1440,"Paleo-climatología y dinámica atmosférica")</f>
        <v>2</v>
      </c>
      <c r="V71" s="5">
        <f>COUNTIFS(   D4:D1440,"Paleo-climatología y dinámica atmosférica",F4:F1440,"Hombre")</f>
        <v>1</v>
      </c>
      <c r="W71" s="5">
        <f>COUNTIFS(   D4:D1440,"Paleo-climatología y dinámica atmosférica",F4:F1440,"Mujer")</f>
        <v>1</v>
      </c>
      <c r="X71" s="19">
        <f>COUNTIFS(   A4:A1440,"2018", D4:D1440,"Paleo-climatología y dinámica atmosférica")</f>
        <v>0</v>
      </c>
      <c r="Y71" s="5">
        <f>COUNTIFS(   A4:A1440,"2019", D4:D1440,"Paleo-climatología y dinámica atmosférica")</f>
        <v>0</v>
      </c>
      <c r="Z71" s="5">
        <f>COUNTIFS(   A4:A1440,"2020", D4:D1440,"Paleo-climatología y dinámica atmosférica")</f>
        <v>1</v>
      </c>
      <c r="AA71" s="5">
        <f>COUNTIFS(   A4:A1440,"2021", D4:D1440,"Paleo-climatología y dinámica atmosférica")</f>
        <v>1</v>
      </c>
      <c r="AB71" s="5">
        <f>COUNTIFS(  A4:A1440,"2022", D4:D1440,"Paleo-climatología y dinámica atmosférica")</f>
        <v>0</v>
      </c>
      <c r="AC71" s="19">
        <f>COUNTIFS(   N4:N1440,"2018", D4:D1440,"Paleo-climatología y dinámica atmosférica")</f>
        <v>0</v>
      </c>
      <c r="AD71" s="5">
        <f>COUNTIFS(   N4:N1440,"2019", D4:D1440,"Paleo-climatología y dinámica atmosférica")</f>
        <v>0</v>
      </c>
      <c r="AE71" s="5">
        <f>COUNTIFS(   N4:N1440,"2020", D4:D1440,"Paleo-climatología y dinámica atmosférica")</f>
        <v>0</v>
      </c>
      <c r="AF71" s="5">
        <f>COUNTIFS(   N4:N1440,"2021", D4:D1440,"Paleo-climatología y dinámica atmosférica")</f>
        <v>1</v>
      </c>
      <c r="AG71" s="5">
        <f>COUNTIFS(   N4:N1440,"2022", D4:D1440,"Paleo-climatología y dinámica atmosférica")</f>
        <v>1</v>
      </c>
      <c r="AH71" s="5">
        <f>COUNTIFS(   D4:D1440,"Paleo-climatología y dinámica atmosférica",G4:G1440,"Sí")</f>
        <v>0</v>
      </c>
      <c r="AI71" s="5">
        <f>COUNTIFS(   D4:D1440,"Paleo-climatología y dinámica atmosférica",G4:G1440,"No")</f>
        <v>2</v>
      </c>
      <c r="AJ71" s="5">
        <f>SUMIFS( E4:E1440, D4:D1440,"Paleo-climatología y dinámica atmosférica",G4:G1440,"Sí")</f>
        <v>0</v>
      </c>
      <c r="AK71" s="5">
        <f>SUMIFS( E4:E1440, D4:D1440,"Paleo-climatología y dinámica atmosférica",G4:G1440,"No")</f>
        <v>1</v>
      </c>
      <c r="AL71" s="5">
        <f>COUNTIFS(   D4:D1440,"Paleo-climatología y dinámica atmosférica",H4:H1440,"Sí")</f>
        <v>1</v>
      </c>
      <c r="AM71" s="5">
        <f>COUNTIFS(   D4:D1440,"Paleo-climatología y dinámica atmosférica",I4:I1440,"Sí")</f>
        <v>1</v>
      </c>
      <c r="AN71" s="5">
        <f>COUNTIFS(   D4:D1440,"Paleo-climatología y dinámica atmosférica",I4:I1440,"No")</f>
        <v>1</v>
      </c>
      <c r="AO71" s="5">
        <f>SUMIFS( E4:E1440, D4:D1440,"Paleo-climatología y dinámica atmosférica",I4:I1440,"Sí")</f>
        <v>1</v>
      </c>
      <c r="AP71" s="5">
        <f>SUMIFS( E4:E1440, D4:D1440,"Paleo-climatología y dinámica atmosférica",I4:I1440,"No")</f>
        <v>0</v>
      </c>
      <c r="AQ71" s="5">
        <f>COUNTIFS(   D4:D1440,"Paleo-climatología y dinámica atmosférica",J4:J1440,"Sí")</f>
        <v>2</v>
      </c>
      <c r="AR71" s="5">
        <f>COUNTIFS(   D4:D1440,"Paleo-climatología y dinámica atmosférica",K4:K1440,"Sí")</f>
        <v>0</v>
      </c>
      <c r="AS71" s="5">
        <f>COUNTIFS(   D4:D1440,"Paleo-climatología y dinámica atmosférica",L4:L1440,"Sí")</f>
        <v>0</v>
      </c>
      <c r="AT71" s="5">
        <f>SUMIFS( E4:E1440, D4:D1440,"Paleo-climatología y dinámica atmosférica")</f>
        <v>1</v>
      </c>
      <c r="AU71" s="5">
        <f>SUMIFS( E4:E1440, F4:F1440,"Hombre", D4:D1440,"Paleo-climatología y dinámica atmosférica")</f>
        <v>0</v>
      </c>
      <c r="AV71" s="5">
        <f>SUMIFS( E4:E1440, F4:F1440,"Mujer", D4:D1440,"Paleo-climatología y dinámica atmosférica")</f>
        <v>1</v>
      </c>
      <c r="AW71" s="19">
        <f>SUMIFS( E4:E1440, A4:A1440,"2018", D4:D1440,"Paleo-climatología y dinámica atmosférica")</f>
        <v>0</v>
      </c>
      <c r="AX71" s="5">
        <f>SUMIFS( E4:E1440, A4:A1440,"2019", D4:D1440,"Paleo-climatología y dinámica atmosférica")</f>
        <v>0</v>
      </c>
      <c r="AY71" s="5">
        <f>SUMIFS( E4:E1440, A4:A1440,"2020", D4:D1440,"Paleo-climatología y dinámica atmosférica")</f>
        <v>1</v>
      </c>
      <c r="AZ71" s="5">
        <f>SUMIFS( E4:E1440, A4:A1440,"2021", D4:D1440,"Paleo-climatología y dinámica atmosférica")</f>
        <v>0</v>
      </c>
      <c r="BA71" s="5">
        <f>SUMIFS( E4:E1440, A4:A1440,"2022", D4:D1440,"Paleo-climatología y dinámica atmosférica")</f>
        <v>0</v>
      </c>
      <c r="BB71" s="19">
        <f>SUMIFS( E4:E1440, N4:N1440,"2018", D4:D1440,"Paleo-climatología y dinámica atmosférica")</f>
        <v>0</v>
      </c>
      <c r="BC71" s="5">
        <f>SUMIFS( E4:E1440, N4:N1440,"2019", D4:D1440,"Paleo-climatología y dinámica atmosférica")</f>
        <v>0</v>
      </c>
      <c r="BD71" s="5">
        <f>SUMIFS( E4:E1440, N4:N1440,"2020", D4:D1440,"Paleo-climatología y dinámica atmosférica")</f>
        <v>0</v>
      </c>
      <c r="BE71" s="5">
        <f>SUMIFS( E4:E1440, N4:N1440,"2021", D4:D1440,"Paleo-climatología y dinámica atmosférica")</f>
        <v>1</v>
      </c>
      <c r="BF71" s="5">
        <f>SUMIFS( E4:E1440, N4:N1440,"2022", D4:D1440,"Paleo-climatología y dinámica atmosférica")</f>
        <v>0</v>
      </c>
      <c r="BG71" s="14">
        <f>AVERAGEIFS( E4:E1440, D4:D1440,"Paleo-climatología y dinámica atmosférica")</f>
        <v>1</v>
      </c>
      <c r="BH71" s="14">
        <v>0</v>
      </c>
      <c r="BI71" s="14">
        <v>0</v>
      </c>
      <c r="BJ71" s="14">
        <v>0</v>
      </c>
      <c r="BK71" s="14" t="e">
        <f>AVERAGEIFS( E4:E1440, A4:A1440,"2021", D4:D1440,"Paleo-climatología y dinámica atmosférica")</f>
        <v>#DIV/0!</v>
      </c>
      <c r="BL71" s="37">
        <v>0</v>
      </c>
      <c r="BM71" s="14">
        <v>6</v>
      </c>
      <c r="BN71" s="14">
        <v>0</v>
      </c>
      <c r="BO71" s="14">
        <v>0</v>
      </c>
      <c r="BP71" s="14">
        <v>0</v>
      </c>
      <c r="BQ71" s="14">
        <v>6</v>
      </c>
      <c r="BR71" s="14">
        <v>0</v>
      </c>
    </row>
    <row r="72" spans="1:70" ht="15" customHeight="1">
      <c r="A72" s="24">
        <v>2018</v>
      </c>
      <c r="B72" s="24" t="s">
        <v>136</v>
      </c>
      <c r="C72" s="24" t="s">
        <v>189</v>
      </c>
      <c r="D72" s="24" t="s">
        <v>258</v>
      </c>
      <c r="E72" s="23">
        <v>1</v>
      </c>
      <c r="F72" s="24" t="s">
        <v>207</v>
      </c>
      <c r="G72" s="24" t="s">
        <v>225</v>
      </c>
      <c r="H72" s="23" t="s">
        <v>226</v>
      </c>
      <c r="I72" s="24" t="s">
        <v>226</v>
      </c>
      <c r="J72" s="23" t="s">
        <v>226</v>
      </c>
      <c r="K72" s="24" t="s">
        <v>226</v>
      </c>
      <c r="L72" s="23"/>
      <c r="M72" s="26" t="s">
        <v>275</v>
      </c>
      <c r="N72" s="24">
        <v>2018</v>
      </c>
      <c r="O72" s="67" t="s">
        <v>83</v>
      </c>
      <c r="P72" s="68"/>
      <c r="Q72" s="68"/>
      <c r="R72" s="68"/>
      <c r="S72" s="68"/>
      <c r="T72" s="69"/>
      <c r="U72" s="5">
        <f>COUNTIFS(   D4:D1440,"Paleontología y Paleoecología")</f>
        <v>4</v>
      </c>
      <c r="V72" s="5">
        <f>COUNTIFS(   D4:D1440,"Paleontología y Paleoecología",F4:F1440,"Hombre")</f>
        <v>2</v>
      </c>
      <c r="W72" s="5">
        <f>COUNTIFS(   D4:D1440,"Paleontología y Paleoecología",F4:F1440,"Mujer")</f>
        <v>2</v>
      </c>
      <c r="X72" s="19">
        <f>COUNTIFS(   A4:A1440,"2018", D4:D1440,"Paleontología y Paleoecología")</f>
        <v>2</v>
      </c>
      <c r="Y72" s="5">
        <f>COUNTIFS(   A4:A1440,"2019", D4:D1440,"Paleontología y Paleoecología")</f>
        <v>1</v>
      </c>
      <c r="Z72" s="5">
        <f>COUNTIFS(   A4:A1440,"2020", D4:D1440,"Paleontología y Paleoecología")</f>
        <v>0</v>
      </c>
      <c r="AA72" s="5">
        <f>COUNTIFS(   A4:A1440,"2021", D4:D1440,"Paleontología y Paleoecología")</f>
        <v>1</v>
      </c>
      <c r="AB72" s="5">
        <f>COUNTIFS(  A4:A1440,"2022", D4:D1440,"Paleontología y Paleoecología")</f>
        <v>0</v>
      </c>
      <c r="AC72" s="19">
        <f>COUNTIFS(   N4:N1440,"2018", D4:D1440,"Paleontología y Paleoecología")</f>
        <v>0</v>
      </c>
      <c r="AD72" s="5">
        <f>COUNTIFS(   N4:N1440,"2019", D4:D1440,"Paleontología y Paleoecología")</f>
        <v>2</v>
      </c>
      <c r="AE72" s="5">
        <f>COUNTIFS(   N4:N1440,"2020", D4:D1440,"Paleontología y Paleoecología")</f>
        <v>1</v>
      </c>
      <c r="AF72" s="5">
        <f>COUNTIFS(   N4:N1440,"2021", D4:D1440,"Paleontología y Paleoecología")</f>
        <v>1</v>
      </c>
      <c r="AG72" s="5">
        <f>COUNTIFS(   N4:N1440,"2022", D4:D1440,"Paleontología y Paleoecología")</f>
        <v>0</v>
      </c>
      <c r="AH72" s="5">
        <f>COUNTIFS(   D4:D1440,"Paleontología y Paleoecología",G4:G1440,"Sí")</f>
        <v>1</v>
      </c>
      <c r="AI72" s="5">
        <f>COUNTIFS(   D4:D1440,"Paleontología y Paleoecología",G4:G1440,"No")</f>
        <v>3</v>
      </c>
      <c r="AJ72" s="5">
        <f>SUMIFS( E4:E1440, D4:D1440,"Paleontología y Paleoecología",G4:G1440,"Sí")</f>
        <v>0</v>
      </c>
      <c r="AK72" s="5">
        <f>SUMIFS( E4:E1440, D4:D1440,"Paleontología y Paleoecología",G4:G1440,"No")</f>
        <v>24</v>
      </c>
      <c r="AL72" s="5">
        <f>COUNTIFS(   D4:D1440,"Paleontología y Paleoecología",H4:H1440,"Sí")</f>
        <v>2</v>
      </c>
      <c r="AM72" s="5">
        <f>COUNTIFS(   D4:D1440,"Paleontología y Paleoecología",I4:I1440,"Sí")</f>
        <v>2</v>
      </c>
      <c r="AN72" s="5">
        <f>COUNTIFS(   D4:D1440,"Paleontología y Paleoecología",I4:I1440,"No")</f>
        <v>2</v>
      </c>
      <c r="AO72" s="5">
        <f>SUMIFS( E4:E1440, D4:D1440,"Paleontología y Paleoecología",I4:I1440,"Sí")</f>
        <v>24</v>
      </c>
      <c r="AP72" s="5">
        <f>SUMIFS( E4:E1440, D4:D1440,"Paleontología y Paleoecología",I4:I1440,"No")</f>
        <v>0</v>
      </c>
      <c r="AQ72" s="5">
        <f>COUNTIFS(   D4:D1440,"Paleontología y Paleoecología",J4:J1440,"Sí")</f>
        <v>4</v>
      </c>
      <c r="AR72" s="5">
        <f>COUNTIFS(   D4:D1440,"Paleontología y Paleoecología",K4:K1440,"Sí")</f>
        <v>2</v>
      </c>
      <c r="AS72" s="5">
        <f>COUNTIFS(   D4:D1440,"Paleontología y Paleoecología",L4:L1440,"Sí")</f>
        <v>0</v>
      </c>
      <c r="AT72" s="5">
        <f>SUMIFS( E4:E1440, D4:D1440,"Paleontología y Paleoecología")</f>
        <v>24</v>
      </c>
      <c r="AU72" s="5">
        <f>SUMIFS( E4:E1440, F4:F1440,"Hombre", D4:D1440,"Paleontología y Paleoecología")</f>
        <v>24</v>
      </c>
      <c r="AV72" s="5">
        <f>SUMIFS( E4:E1440, F4:F1440,"Mujer", D4:D1440,"Paleontología y Paleoecología")</f>
        <v>0</v>
      </c>
      <c r="AW72" s="19">
        <f>SUMIFS( E4:E1440, A4:A1440,"2018", D4:D1440,"Paleontología y Paleoecología")</f>
        <v>1</v>
      </c>
      <c r="AX72" s="5">
        <f>SUMIFS( E4:E1440, A4:A1440,"2019", D4:D1440,"Paleontología y Paleoecología")</f>
        <v>0</v>
      </c>
      <c r="AY72" s="5">
        <f>SUMIFS( E4:E1440, A4:A1440,"2020", D4:D1440,"Paleontología y Paleoecología")</f>
        <v>0</v>
      </c>
      <c r="AZ72" s="5">
        <f>SUMIFS( E4:E1440, A4:A1440,"2021", D4:D1440,"Paleontología y Paleoecología")</f>
        <v>23</v>
      </c>
      <c r="BA72" s="5">
        <f>SUMIFS( E4:E1440, A4:A1440,"2022", D4:D1440,"Paleontología y Paleoecología")</f>
        <v>0</v>
      </c>
      <c r="BB72" s="19">
        <f>SUMIFS( E4:E1440, N4:N1440,"2018", D4:D1440,"Paleontología y Paleoecología")</f>
        <v>0</v>
      </c>
      <c r="BC72" s="5">
        <f>SUMIFS( E4:E1440, N4:N1440,"2019", D4:D1440,"Paleontología y Paleoecología")</f>
        <v>1</v>
      </c>
      <c r="BD72" s="5">
        <f>SUMIFS( E4:E1440, N4:N1440,"2020", D4:D1440,"Paleontología y Paleoecología")</f>
        <v>0</v>
      </c>
      <c r="BE72" s="5">
        <f>SUMIFS( E4:E1440, N4:N1440,"2021", D4:D1440,"Paleontología y Paleoecología")</f>
        <v>23</v>
      </c>
      <c r="BF72" s="5">
        <f>SUMIFS( E4:E1440, N4:N1440,"2022", D4:D1440,"Paleontología y Paleoecología")</f>
        <v>0</v>
      </c>
      <c r="BG72" s="14">
        <f>AVERAGEIFS( E4:E1440, D4:D1440,"Paleontología y Paleoecología")</f>
        <v>12</v>
      </c>
      <c r="BH72" s="14">
        <v>0</v>
      </c>
      <c r="BI72" s="14">
        <v>0</v>
      </c>
      <c r="BJ72" s="14">
        <v>0</v>
      </c>
      <c r="BK72" s="14">
        <v>0</v>
      </c>
      <c r="BL72" s="37" t="e">
        <f>AVERAGEIFS( E4:E1440, A4:A1440,"2022", D4:D1440,"Paleontología y Paleoecología")</f>
        <v>#DIV/0!</v>
      </c>
      <c r="BM72" s="14">
        <v>5</v>
      </c>
      <c r="BN72" s="14">
        <v>0</v>
      </c>
      <c r="BO72" s="14">
        <v>0</v>
      </c>
      <c r="BP72" s="14">
        <v>0</v>
      </c>
      <c r="BQ72" s="14">
        <v>0</v>
      </c>
      <c r="BR72" s="14">
        <v>5</v>
      </c>
    </row>
    <row r="73" spans="1:70" ht="15" customHeight="1">
      <c r="A73" s="24">
        <v>2018</v>
      </c>
      <c r="B73" s="24" t="s">
        <v>4</v>
      </c>
      <c r="C73" s="24" t="s">
        <v>18</v>
      </c>
      <c r="D73" s="24" t="s">
        <v>22</v>
      </c>
      <c r="E73" s="23">
        <v>26</v>
      </c>
      <c r="F73" s="24" t="s">
        <v>207</v>
      </c>
      <c r="G73" s="24" t="s">
        <v>225</v>
      </c>
      <c r="H73" s="23" t="s">
        <v>226</v>
      </c>
      <c r="I73" s="24" t="s">
        <v>225</v>
      </c>
      <c r="J73" s="23" t="s">
        <v>226</v>
      </c>
      <c r="K73" s="24" t="s">
        <v>226</v>
      </c>
      <c r="L73" s="23"/>
      <c r="M73" s="26" t="s">
        <v>275</v>
      </c>
      <c r="N73" s="24">
        <v>2018</v>
      </c>
      <c r="O73" s="67" t="s">
        <v>86</v>
      </c>
      <c r="P73" s="68"/>
      <c r="Q73" s="68"/>
      <c r="R73" s="68"/>
      <c r="S73" s="68"/>
      <c r="T73" s="69"/>
      <c r="U73" s="5">
        <f>COUNTIFS(   D4:D1440,"Petrogénesis y Yacimientos minerales")</f>
        <v>2</v>
      </c>
      <c r="V73" s="5">
        <f>COUNTIFS(   D4:D1440,"Petrogénesis y Yacimientos minerales",F4:F1440,"Hombre")</f>
        <v>2</v>
      </c>
      <c r="W73" s="5">
        <f>COUNTIFS(   D4:D1440,"Petrogénesis y Yacimientos minerales",F4:F1440,"Mujer")</f>
        <v>0</v>
      </c>
      <c r="X73" s="19">
        <f>COUNTIFS(   A4:A1440,"2018", D4:D1440,"Petrogénesis y Yacimientos minerales")</f>
        <v>0</v>
      </c>
      <c r="Y73" s="5">
        <f>COUNTIFS(   A4:A1440,"2019", D4:D1440,"Petrogénesis y Yacimientos minerales")</f>
        <v>0</v>
      </c>
      <c r="Z73" s="5">
        <f>COUNTIFS(   A4:A1440,"2020", D4:D1440,"Petrogénesis y Yacimientos minerales")</f>
        <v>1</v>
      </c>
      <c r="AA73" s="5">
        <f>COUNTIFS(   A4:A1440,"2021", D4:D1440,"Petrogénesis y Yacimientos minerales")</f>
        <v>1</v>
      </c>
      <c r="AB73" s="5">
        <f>COUNTIFS(  A4:A1440,"2022", D4:D1440,"Petrogénesis y Yacimientos minerales")</f>
        <v>0</v>
      </c>
      <c r="AC73" s="19">
        <f>COUNTIFS(   N4:N1440,"2018", D4:D1440,"Petrogénesis y Yacimientos minerales")</f>
        <v>0</v>
      </c>
      <c r="AD73" s="5">
        <f>COUNTIFS(   N4:N1440,"2019", D4:D1440,"Petrogénesis y Yacimientos minerales")</f>
        <v>0</v>
      </c>
      <c r="AE73" s="5">
        <f>COUNTIFS(   N4:N1440,"2020", D4:D1440,"Petrogénesis y Yacimientos minerales")</f>
        <v>0</v>
      </c>
      <c r="AF73" s="5">
        <f>COUNTIFS(   N4:N1440,"2021", D4:D1440,"Petrogénesis y Yacimientos minerales")</f>
        <v>2</v>
      </c>
      <c r="AG73" s="5">
        <f>COUNTIFS(   N4:N1440,"2022", D4:D1440,"Petrogénesis y Yacimientos minerales")</f>
        <v>0</v>
      </c>
      <c r="AH73" s="5">
        <f>COUNTIFS(   D4:D1440,"Petrogénesis y Yacimientos minerales",G4:G1440,"Sí")</f>
        <v>1</v>
      </c>
      <c r="AI73" s="5">
        <f>COUNTIFS(   D4:D1440,"Petrogénesis y Yacimientos minerales",G4:G1440,"No")</f>
        <v>1</v>
      </c>
      <c r="AJ73" s="5">
        <f>SUMIFS( E4:E1440, D4:D1440,"Petrogénesis y Yacimientos minerales",G4:G1440,"Sí")</f>
        <v>5</v>
      </c>
      <c r="AK73" s="5">
        <f>SUMIFS( E4:E1440, D4:D1440,"Petrogénesis y Yacimientos minerales",G4:G1440,"No")</f>
        <v>0</v>
      </c>
      <c r="AL73" s="5">
        <f>COUNTIFS(   D4:D1440,"Petrogénesis y Yacimientos minerales",H4:H1440,"Sí")</f>
        <v>1</v>
      </c>
      <c r="AM73" s="5">
        <f>COUNTIFS(   D4:D1440,"Petrogénesis y Yacimientos minerales",I4:I1440,"Sí")</f>
        <v>1</v>
      </c>
      <c r="AN73" s="5">
        <f>COUNTIFS(   D4:D1440,"Petrogénesis y Yacimientos minerales",I4:I1440,"No")</f>
        <v>1</v>
      </c>
      <c r="AO73" s="5">
        <f>SUMIFS( E4:E1440, D4:D1440,"Petrogénesis y Yacimientos minerales",I4:I1440,"Sí")</f>
        <v>0</v>
      </c>
      <c r="AP73" s="5">
        <f>SUMIFS( E4:E1440, D4:D1440,"Petrogénesis y Yacimientos minerales",I4:I1440,"No")</f>
        <v>5</v>
      </c>
      <c r="AQ73" s="5">
        <f>COUNTIFS(   D4:D1440,"Petrogénesis y Yacimientos minerales",J4:J1440,"Sí")</f>
        <v>2</v>
      </c>
      <c r="AR73" s="5">
        <f>COUNTIFS(   D4:D1440,"Petrogénesis y Yacimientos minerales",K4:K1440,"Sí")</f>
        <v>0</v>
      </c>
      <c r="AS73" s="5">
        <f>COUNTIFS(   D4:D1440,"Petrogénesis y Yacimientos minerales",L4:L1440,"Sí")</f>
        <v>0</v>
      </c>
      <c r="AT73" s="5">
        <f>SUMIFS( E4:E1440, D4:D1440,"Petrogénesis y Yacimientos minerales")</f>
        <v>5</v>
      </c>
      <c r="AU73" s="5">
        <f>SUMIFS( E4:E1440, F4:F1440,"Hombre", D4:D1440,"Petrogénesis y Yacimientos minerales")</f>
        <v>5</v>
      </c>
      <c r="AV73" s="5">
        <f>SUMIFS( E4:E1440, F4:F1440,"Mujer", D4:D1440,"Petrogénesis y Yacimientos minerales")</f>
        <v>0</v>
      </c>
      <c r="AW73" s="19">
        <f>SUMIFS( E4:E1440, A4:A1440,"2018", D4:D1440,"Petrogénesis y Yacimientos minerales")</f>
        <v>0</v>
      </c>
      <c r="AX73" s="5">
        <f>SUMIFS( E4:E1440, A4:A1440,"2019", D4:D1440,"Petrogénesis y Yacimientos minerales")</f>
        <v>0</v>
      </c>
      <c r="AY73" s="5">
        <f>SUMIFS( E4:E1440, A4:A1440,"2020", D4:D1440,"Petrogénesis y Yacimientos minerales")</f>
        <v>0</v>
      </c>
      <c r="AZ73" s="5">
        <f>SUMIFS( E4:E1440, A4:A1440,"2021", D4:D1440,"Petrogénesis y Yacimientos minerales")</f>
        <v>5</v>
      </c>
      <c r="BA73" s="5">
        <f>SUMIFS( E4:E1440, A4:A1440,"2022", D4:D1440,"Petrogénesis y Yacimientos minerales")</f>
        <v>0</v>
      </c>
      <c r="BB73" s="19">
        <f>SUMIFS( E4:E1440, N4:N1440,"2018", D4:D1440,"Petrogénesis y Yacimientos minerales")</f>
        <v>0</v>
      </c>
      <c r="BC73" s="5">
        <f>SUMIFS( E4:E1440, N4:N1440,"2019", D4:D1440,"Petrogénesis y Yacimientos minerales")</f>
        <v>0</v>
      </c>
      <c r="BD73" s="5">
        <f>SUMIFS( E4:E1440, N4:N1440,"2020", D4:D1440,"Petrogénesis y Yacimientos minerales")</f>
        <v>0</v>
      </c>
      <c r="BE73" s="5">
        <f>SUMIFS( E4:E1440, N4:N1440,"2021", D4:D1440,"Petrogénesis y Yacimientos minerales")</f>
        <v>5</v>
      </c>
      <c r="BF73" s="5">
        <f>SUMIFS( E4:E1440, N4:N1440,"2022", D4:D1440,"Petrogénesis y Yacimientos minerales")</f>
        <v>0</v>
      </c>
      <c r="BG73" s="14">
        <f>AVERAGEIFS( E4:E1440, D4:D1440,"Petrogénesis y Yacimientos minerales")</f>
        <v>5</v>
      </c>
      <c r="BH73" s="14">
        <v>0</v>
      </c>
      <c r="BI73" s="14">
        <v>0</v>
      </c>
      <c r="BJ73" s="14">
        <v>0</v>
      </c>
      <c r="BK73" s="14">
        <f>AVERAGEIFS( E4:E1440, A4:A1440,"2021", D4:D1440,"Petrogénesis y Yacimientos minerales")</f>
        <v>5</v>
      </c>
      <c r="BL73" s="37">
        <v>0</v>
      </c>
      <c r="BM73" s="14">
        <v>2</v>
      </c>
      <c r="BN73" s="14">
        <v>0</v>
      </c>
      <c r="BO73" s="14">
        <v>0</v>
      </c>
      <c r="BP73" s="14">
        <v>0</v>
      </c>
      <c r="BQ73" s="14">
        <v>2</v>
      </c>
      <c r="BR73" s="14">
        <v>0</v>
      </c>
    </row>
    <row r="74" spans="1:70" ht="15" customHeight="1">
      <c r="A74" s="24">
        <v>2018</v>
      </c>
      <c r="B74" s="24" t="s">
        <v>4</v>
      </c>
      <c r="C74" s="24" t="s">
        <v>23</v>
      </c>
      <c r="D74" s="24" t="s">
        <v>27</v>
      </c>
      <c r="E74" s="23">
        <v>12</v>
      </c>
      <c r="F74" s="24" t="s">
        <v>211</v>
      </c>
      <c r="G74" s="24" t="s">
        <v>225</v>
      </c>
      <c r="H74" s="23" t="s">
        <v>226</v>
      </c>
      <c r="I74" s="24" t="s">
        <v>225</v>
      </c>
      <c r="J74" s="23" t="s">
        <v>226</v>
      </c>
      <c r="K74" s="24" t="s">
        <v>226</v>
      </c>
      <c r="L74" s="23"/>
      <c r="M74" s="26" t="s">
        <v>276</v>
      </c>
      <c r="N74" s="24">
        <v>2018</v>
      </c>
      <c r="O74" s="40" t="s">
        <v>61</v>
      </c>
      <c r="P74" s="41"/>
      <c r="Q74" s="41"/>
      <c r="R74" s="41"/>
      <c r="S74" s="41"/>
      <c r="T74" s="42"/>
      <c r="U74" s="4">
        <f>COUNTIFS(   C4:C1440,"Dinámica de Flujos Biogeoquímicos y sus Aplicaciones")</f>
        <v>10</v>
      </c>
      <c r="V74" s="4">
        <f>COUNTIFS(   C4:C1440,"Dinámica de Flujos Biogeoquímicos y sus Aplicaciones",F4:F1440,"Hombre")</f>
        <v>3</v>
      </c>
      <c r="W74" s="4">
        <f>COUNTIFS(   C4:C1440,"Dinámica de Flujos Biogeoquímicos y sus Aplicaciones",F4:F1440,"Mujer")</f>
        <v>7</v>
      </c>
      <c r="X74" s="18">
        <f>COUNTIFS(   A4:A1440,"2018", C4:C1440,"Dinámica de Flujos Biogeoquímicos y sus Aplicaciones")</f>
        <v>3</v>
      </c>
      <c r="Y74" s="4">
        <f>COUNTIFS(   A4:A1440,"2019", C4:C1440,"Dinámica de Flujos Biogeoquímicos y sus Aplicaciones")</f>
        <v>4</v>
      </c>
      <c r="Z74" s="4">
        <f>COUNTIFS(   A4:A1440,"2020", C4:C1440,"Dinámica de Flujos Biogeoquímicos y sus Aplicaciones")</f>
        <v>3</v>
      </c>
      <c r="AA74" s="4">
        <f>COUNTIFS(   A4:A1440,"2021", C4:C1440,"Dinámica de Flujos Biogeoquímicos y sus Aplicaciones")</f>
        <v>0</v>
      </c>
      <c r="AB74" s="4">
        <f>COUNTIFS(   A4:A1440,"2022", C4:C1440,"Dinámica de Flujos Biogeoquímicos y sus Aplicaciones")</f>
        <v>0</v>
      </c>
      <c r="AC74" s="18">
        <f>COUNTIFS(   N4:N1440,"2018", C4:C1440,"Dinámica de Flujos Biogeoquímicos y sus Aplicaciones")</f>
        <v>0</v>
      </c>
      <c r="AD74" s="4">
        <f>COUNTIFS(   N4:N1440,"2019", C4:C1440,"Dinámica de Flujos Biogeoquímicos y sus Aplicaciones")</f>
        <v>5</v>
      </c>
      <c r="AE74" s="4">
        <f>COUNTIFS(   N4:N1440,"2020", C4:C1440,"Dinámica de Flujos Biogeoquímicos y sus Aplicaciones")</f>
        <v>3</v>
      </c>
      <c r="AF74" s="4">
        <f>COUNTIFS(   N4:N1440,"2021", C4:C1440,"Dinámica de Flujos Biogeoquímicos y sus Aplicaciones")</f>
        <v>2</v>
      </c>
      <c r="AG74" s="4">
        <f>COUNTIFS(   N4:N1440,"2022", C4:C1440,"Dinámica de Flujos Biogeoquímicos y sus Aplicaciones")</f>
        <v>0</v>
      </c>
      <c r="AH74" s="4">
        <f>COUNTIFS(   C4:C1440,"Dinámica de Flujos Biogeoquímicos y sus Aplicaciones",G4:G1440,"Sí")</f>
        <v>2</v>
      </c>
      <c r="AI74" s="4">
        <f>COUNTIFS(   C4:C1440,"Dinámica de Flujos Biogeoquímicos y sus Aplicaciones",G4:G1440,"No")</f>
        <v>8</v>
      </c>
      <c r="AJ74" s="4">
        <f>SUMIFS( E4:E1440, C4:C1440,"Dinámica de Flujos Biogeoquímicos y sus Aplicaciones",G4:G1440,"Sí")</f>
        <v>17</v>
      </c>
      <c r="AK74" s="4">
        <f>SUMIFS( E4:E1440, C4:C1440,"Dinámica de Flujos Biogeoquímicos y sus Aplicaciones",G4:G1440,"No")</f>
        <v>28</v>
      </c>
      <c r="AL74" s="4">
        <f>COUNTIFS(   C4:C1440,"Dinámica de Flujos Biogeoquímicos y sus Aplicaciones",H4:H1440,"Sí")</f>
        <v>8</v>
      </c>
      <c r="AM74" s="4">
        <f>COUNTIFS(   C4:C1440,"Dinámica de Flujos Biogeoquímicos y sus Aplicaciones",I4:I1440,"Sí")</f>
        <v>7</v>
      </c>
      <c r="AN74" s="4">
        <f>COUNTIFS(   C4:C1440,"Dinámica de Flujos Biogeoquímicos y sus Aplicaciones",I4:I1440,"No")</f>
        <v>3</v>
      </c>
      <c r="AO74" s="4">
        <f>SUMIFS( E4:E1440, C4:C1440,"Dinámica de Flujos Biogeoquímicos y sus Aplicaciones",I4:I1440,"Sí")</f>
        <v>35</v>
      </c>
      <c r="AP74" s="4">
        <f>SUMIFS( E4:E1440, C4:C1440,"Dinámica de Flujos Biogeoquímicos y sus Aplicaciones",I4:I1440,"No")</f>
        <v>10</v>
      </c>
      <c r="AQ74" s="4">
        <f>COUNTIFS(   C4:C1440,"Dinámica de Flujos Biogeoquímicos y sus Aplicaciones",J4:J1440,"Sí")</f>
        <v>10</v>
      </c>
      <c r="AR74" s="4">
        <f>COUNTIFS(   C4:C1440,"Dinámica de Flujos Biogeoquímicos y sus Aplicaciones",K4:K1440,"Sí")</f>
        <v>4</v>
      </c>
      <c r="AS74" s="4">
        <f>COUNTIFS(   C4:C1440,"Dinámica de Flujos Biogeoquímicos y sus Aplicaciones",L4:L1440,"Sí")</f>
        <v>0</v>
      </c>
      <c r="AT74" s="4">
        <f>SUMIFS( E4:E1440, C4:C1440,"Dinámica de Flujos Biogeoquímicos y sus Aplicaciones")</f>
        <v>45</v>
      </c>
      <c r="AU74" s="4">
        <f>SUMIFS( E4:E1440, F4:F1440,"Hombre", C4:C1440,"Dinámica de Flujos Biogeoquímicos y sus Aplicaciones")</f>
        <v>9</v>
      </c>
      <c r="AV74" s="4">
        <f>SUMIFS( E4:E1440, F4:F1440,"Mujer", C4:C1440,"Dinámica de Flujos Biogeoquímicos y sus Aplicaciones")</f>
        <v>36</v>
      </c>
      <c r="AW74" s="18">
        <f>SUMIFS( E4:E1440, A4:A1440,"2018", C4:C1440,"Dinámica de Flujos Biogeoquímicos y sus Aplicaciones")</f>
        <v>17</v>
      </c>
      <c r="AX74" s="4">
        <f>SUMIFS( E4:E1440, A4:A1440,"2019", C4:C1440,"Dinámica de Flujos Biogeoquímicos y sus Aplicaciones")</f>
        <v>16</v>
      </c>
      <c r="AY74" s="4">
        <f>SUMIFS( E4:E1440, A4:A1440,"2020", C4:C1440,"Dinámica de Flujos Biogeoquímicos y sus Aplicaciones")</f>
        <v>12</v>
      </c>
      <c r="AZ74" s="4">
        <f>SUMIFS( E4:E1440, A4:A1440,"2021", C4:C1440,"Dinámica de Flujos Biogeoquímicos y sus Aplicaciones")</f>
        <v>0</v>
      </c>
      <c r="BA74" s="4">
        <f>SUMIFS( E4:E1440, A4:A1440,"2022", C4:C1440,"Dinámica de Flujos Biogeoquímicos y sus Aplicaciones")</f>
        <v>0</v>
      </c>
      <c r="BB74" s="18">
        <f>SUMIFS( E4:E1440, N4:N1440,"2018", C4:C1440,"Dinámica de Flujos Biogeoquímicos y sus Aplicaciones")</f>
        <v>0</v>
      </c>
      <c r="BC74" s="4">
        <f>SUMIFS( E4:E1440, N4:N1440,"2019", C4:C1440,"Dinámica de Flujos Biogeoquímicos y sus Aplicaciones")</f>
        <v>32</v>
      </c>
      <c r="BD74" s="4">
        <f>SUMIFS( E4:E1440, N4:N1440,"2020", C4:C1440,"Dinámica de Flujos Biogeoquímicos y sus Aplicaciones")</f>
        <v>7</v>
      </c>
      <c r="BE74" s="4">
        <f>SUMIFS( E4:E1440, N4:N1440,"2021", C4:C1440,"Dinámica de Flujos Biogeoquímicos y sus Aplicaciones")</f>
        <v>6</v>
      </c>
      <c r="BF74" s="4">
        <f>SUMIFS( E4:E1440, N4:N1440,"2022", C4:C1440,"Dinámica de Flujos Biogeoquímicos y sus Aplicaciones")</f>
        <v>0</v>
      </c>
      <c r="BG74" s="13">
        <f>AVERAGEIFS( E4:E1440, C4:C1440,"Dinámica de Flujos Biogeoquímicos y sus Aplicaciones")</f>
        <v>5.625</v>
      </c>
      <c r="BH74" s="13">
        <v>0</v>
      </c>
      <c r="BI74" s="13">
        <f>AVERAGEIFS( E4:E1440, A4:A1440,"2019", C4:C1440,"Dinámica de Flujos Biogeoquímicos y sus Aplicaciones")</f>
        <v>5.333333333333333</v>
      </c>
      <c r="BJ74" s="13">
        <v>0</v>
      </c>
      <c r="BK74" s="13" t="e">
        <f>AVERAGEIFS( E4:E1440, A4:A1440,"2021", C4:C1440,"Dinámica de Flujos Biogeoquímicos y sus Aplicaciones")</f>
        <v>#DIV/0!</v>
      </c>
      <c r="BL74" s="37" t="e">
        <f>AVERAGEIFS( E4:E1440, A4:A1440,"2022", C4:C1440,"Dinámica de Flujos Biogeoquímicos y sus Aplicaciones")</f>
        <v>#DIV/0!</v>
      </c>
      <c r="BM74" s="13">
        <f>AVERAGE(AT75:AT77)</f>
        <v>15</v>
      </c>
      <c r="BN74" s="13">
        <v>0</v>
      </c>
      <c r="BO74" s="13">
        <f>AVERAGE(AX75:AX77)</f>
        <v>5.333333333333333</v>
      </c>
      <c r="BP74" s="13">
        <f>AVERAGE(AY75:AY77)</f>
        <v>4</v>
      </c>
      <c r="BQ74" s="13">
        <f>AVERAGE(AZ75:AZ77)</f>
        <v>0</v>
      </c>
      <c r="BR74" s="13">
        <f>AVERAGE(BA75:BA77)</f>
        <v>0</v>
      </c>
    </row>
    <row r="75" spans="1:70" ht="15" customHeight="1">
      <c r="A75" s="24">
        <v>2018</v>
      </c>
      <c r="B75" s="24" t="s">
        <v>4</v>
      </c>
      <c r="C75" s="24" t="s">
        <v>5</v>
      </c>
      <c r="D75" s="24" t="s">
        <v>7</v>
      </c>
      <c r="E75" s="23">
        <v>62</v>
      </c>
      <c r="F75" s="24" t="s">
        <v>207</v>
      </c>
      <c r="G75" s="24" t="s">
        <v>225</v>
      </c>
      <c r="H75" s="23" t="s">
        <v>226</v>
      </c>
      <c r="I75" s="24" t="s">
        <v>225</v>
      </c>
      <c r="J75" s="23" t="s">
        <v>226</v>
      </c>
      <c r="K75" s="24" t="s">
        <v>226</v>
      </c>
      <c r="L75" s="23"/>
      <c r="M75" s="26" t="s">
        <v>277</v>
      </c>
      <c r="N75" s="24">
        <v>2018</v>
      </c>
      <c r="O75" s="67" t="s">
        <v>89</v>
      </c>
      <c r="P75" s="68"/>
      <c r="Q75" s="68"/>
      <c r="R75" s="68"/>
      <c r="S75" s="68"/>
      <c r="T75" s="69"/>
      <c r="U75" s="5">
        <f>COUNTIFS(   D4:D1440,"Gestión integral de recursos atmosféricos y marinos y de las infraestructuras para su aprovechamiento")</f>
        <v>6</v>
      </c>
      <c r="V75" s="5">
        <f>COUNTIFS(   D4:D1440,"Gestión integral de recursos atmosféricos y marinos y de las infraestructuras para su aprovechamiento",F4:F1440,"Hombre")</f>
        <v>2</v>
      </c>
      <c r="W75" s="5">
        <f>COUNTIFS(   D4:D1440,"Gestión integral de recursos atmosféricos y marinos y de las infraestructuras para su aprovechamiento",F4:F1440,"Mujer")</f>
        <v>4</v>
      </c>
      <c r="X75" s="19">
        <f>COUNTIFS(   A4:A1440,"2018", D4:D1440,"Gestión integral de recursos atmosféricos y marinos y de las infraestructuras para su aprovechamiento")</f>
        <v>2</v>
      </c>
      <c r="Y75" s="5">
        <f>COUNTIFS(   A4:A1440,"2019", D4:D1440,"Gestión integral de recursos atmosféricos y marinos y de las infraestructuras para su aprovechamiento")</f>
        <v>2</v>
      </c>
      <c r="Z75" s="5">
        <f>COUNTIFS(   A4:A1440,"2020", D4:D1440,"Gestión integral de recursos atmosféricos y marinos y de las infraestructuras para su aprovechamiento")</f>
        <v>2</v>
      </c>
      <c r="AA75" s="5">
        <f>COUNTIFS(   A4:A1440,"2021", D4:D1440,"Gestión integral de recursos atmosféricos y marinos y de las infraestructuras para su aprovechamiento")</f>
        <v>0</v>
      </c>
      <c r="AB75" s="5">
        <f>COUNTIFS(  A4:A1440,"2022", D4:D1440,"Gestión integral de recursos atmosféricos y marinos y de las infraestructuras para su aprovechamiento")</f>
        <v>0</v>
      </c>
      <c r="AC75" s="19">
        <f>COUNTIFS(   N4:N1440,"2018", D4:D1440,"Gestión integral de recursos atmosféricos y marinos y de las infraestructuras para su aprovechamiento")</f>
        <v>0</v>
      </c>
      <c r="AD75" s="5">
        <f>COUNTIFS(   N4:N1440,"2019", D4:D1440,"Gestión integral de recursos atmosféricos y marinos y de las infraestructuras para su aprovechamiento")</f>
        <v>3</v>
      </c>
      <c r="AE75" s="5">
        <f>COUNTIFS(   N4:N1440,"2020", D4:D1440,"Gestión integral de recursos atmosféricos y marinos y de las infraestructuras para su aprovechamiento")</f>
        <v>1</v>
      </c>
      <c r="AF75" s="5">
        <f>COUNTIFS(   N4:N1440,"2021", D4:D1440,"Gestión integral de recursos atmosféricos y marinos y de las infraestructuras para su aprovechamiento")</f>
        <v>2</v>
      </c>
      <c r="AG75" s="5">
        <f>COUNTIFS(   N4:N1440,"2022", D4:D1440,"Gestión integral de recursos atmosféricos y marinos y de las infraestructuras para su aprovechamiento")</f>
        <v>0</v>
      </c>
      <c r="AH75" s="5">
        <f>COUNTIFS(   D4:D1440,"Gestión integral de recursos atmosféricos y marinos y de las infraestructuras para su aprovechamiento",G4:G1440,"Sí")</f>
        <v>2</v>
      </c>
      <c r="AI75" s="5">
        <f>COUNTIFS(   D4:D1440,"Gestión integral de recursos atmosféricos y marinos y de las infraestructuras para su aprovechamiento",G4:G1440,"No")</f>
        <v>4</v>
      </c>
      <c r="AJ75" s="5">
        <f>SUMIFS( E4:E1440, D4:D1440,"Gestión integral de recursos atmosféricos y marinos y de las infraestructuras para su aprovechamiento",G4:G1440,"Sí")</f>
        <v>17</v>
      </c>
      <c r="AK75" s="5">
        <f>SUMIFS( E4:E1440, D4:D1440,"Gestión integral de recursos atmosféricos y marinos y de las infraestructuras para su aprovechamiento",G4:G1440,"No")</f>
        <v>17</v>
      </c>
      <c r="AL75" s="5">
        <f>COUNTIFS(   D4:D1440,"Gestión integral de recursos atmosféricos y marinos y de las infraestructuras para su aprovechamiento",H4:H1440,"Sí")</f>
        <v>5</v>
      </c>
      <c r="AM75" s="5">
        <f>COUNTIFS(   D4:D1440,"Gestión integral de recursos atmosféricos y marinos y de las infraestructuras para su aprovechamiento",I4:I1440,"Sí")</f>
        <v>5</v>
      </c>
      <c r="AN75" s="5">
        <f>COUNTIFS(   D4:D1440,"Gestión integral de recursos atmosféricos y marinos y de las infraestructuras para su aprovechamiento",I4:I1440,"No")</f>
        <v>1</v>
      </c>
      <c r="AO75" s="5">
        <f>SUMIFS( E4:E1440, D4:D1440,"Gestión integral de recursos atmosféricos y marinos y de las infraestructuras para su aprovechamiento",I4:I1440,"Sí")</f>
        <v>31</v>
      </c>
      <c r="AP75" s="5">
        <f>SUMIFS( E4:E1440, D4:D1440,"Gestión integral de recursos atmosféricos y marinos y de las infraestructuras para su aprovechamiento",I4:I1440,"No")</f>
        <v>3</v>
      </c>
      <c r="AQ75" s="5">
        <f>COUNTIFS(   D4:D1440,"Gestión integral de recursos atmosféricos y marinos y de las infraestructuras para su aprovechamiento",J4:J1440,"Sí")</f>
        <v>6</v>
      </c>
      <c r="AR75" s="5">
        <f>COUNTIFS(   D4:D1440,"Gestión integral de recursos atmosféricos y marinos y de las infraestructuras para su aprovechamiento",K4:K1440,"Sí")</f>
        <v>2</v>
      </c>
      <c r="AS75" s="5">
        <f>COUNTIFS(   D4:D1440,"Gestión integral de recursos atmosféricos y marinos y de las infraestructuras para su aprovechamiento",L4:L1440,"Sí")</f>
        <v>0</v>
      </c>
      <c r="AT75" s="5">
        <f>SUMIFS( E4:E1440, D4:D1440,"Gestión integral de recursos atmosféricos y marinos y de las infraestructuras para su aprovechamiento")</f>
        <v>34</v>
      </c>
      <c r="AU75" s="5">
        <f>SUMIFS( E4:E1440, F4:F1440,"Hombre", D4:D1440,"Gestión integral de recursos atmosféricos y marinos y de las infraestructuras para su aprovechamiento")</f>
        <v>3</v>
      </c>
      <c r="AV75" s="5">
        <f>SUMIFS( E4:E1440, F4:F1440,"Mujer", D4:D1440,"Gestión integral de recursos atmosféricos y marinos y de las infraestructuras para su aprovechamiento")</f>
        <v>31</v>
      </c>
      <c r="AW75" s="19">
        <f>SUMIFS( E4:E1440, A4:A1440,"2018", D4:D1440,"Gestión integral de recursos atmosféricos y marinos y de las infraestructuras para su aprovechamiento")</f>
        <v>17</v>
      </c>
      <c r="AX75" s="5">
        <f>SUMIFS( E4:E1440, A4:A1440,"2019", D4:D1440,"Gestión integral de recursos atmosféricos y marinos y de las infraestructuras para su aprovechamiento")</f>
        <v>11</v>
      </c>
      <c r="AY75" s="5">
        <f>SUMIFS( E4:E1440, A4:A1440,"2020", D4:D1440,"Gestión integral de recursos atmosféricos y marinos y de las infraestructuras para su aprovechamiento")</f>
        <v>6</v>
      </c>
      <c r="AZ75" s="5">
        <f>SUMIFS( E4:E1440, A4:A1440,"2021", D4:D1440,"Gestión integral de recursos atmosféricos y marinos y de las infraestructuras para su aprovechamiento")</f>
        <v>0</v>
      </c>
      <c r="BA75" s="5">
        <f>SUMIFS( E4:E1440, A4:A1440,"2022", D4:D1440,"Gestión integral de recursos atmosféricos y marinos y de las infraestructuras para su aprovechamiento")</f>
        <v>0</v>
      </c>
      <c r="BB75" s="19">
        <f>SUMIFS( E4:E1440, N4:N1440,"2018", D4:D1440,"Gestión integral de recursos atmosféricos y marinos y de las infraestructuras para su aprovechamiento")</f>
        <v>0</v>
      </c>
      <c r="BC75" s="5">
        <f>SUMIFS( E4:E1440, N4:N1440,"2019", D4:D1440,"Gestión integral de recursos atmosféricos y marinos y de las infraestructuras para su aprovechamiento")</f>
        <v>28</v>
      </c>
      <c r="BD75" s="5">
        <f>SUMIFS( E4:E1440, N4:N1440,"2020", D4:D1440,"Gestión integral de recursos atmosféricos y marinos y de las infraestructuras para su aprovechamiento")</f>
        <v>0</v>
      </c>
      <c r="BE75" s="5">
        <f>SUMIFS( E4:E1440, N4:N1440,"2021", D4:D1440,"Gestión integral de recursos atmosféricos y marinos y de las infraestructuras para su aprovechamiento")</f>
        <v>6</v>
      </c>
      <c r="BF75" s="5">
        <f>SUMIFS( E4:E1440, N4:N1440,"2022", D4:D1440,"Gestión integral de recursos atmosféricos y marinos y de las infraestructuras para su aprovechamiento")</f>
        <v>0</v>
      </c>
      <c r="BG75" s="14">
        <f>AVERAGEIFS( E4:E1440, D4:D1440,"Gestión integral de recursos atmosféricos y marinos y de las infraestructuras para su aprovechamiento")</f>
        <v>6.8</v>
      </c>
      <c r="BH75" s="14">
        <v>0</v>
      </c>
      <c r="BI75" s="14">
        <f>AVERAGEIFS( E4:E1440, A4:A1440,"2019", D4:D1440,"Gestión integral de recursos atmosféricos y marinos y de las infraestructuras para su aprovechamiento")</f>
        <v>11</v>
      </c>
      <c r="BJ75" s="14">
        <v>0</v>
      </c>
      <c r="BK75" s="14" t="e">
        <f>AVERAGEIFS( E4:E1440, A4:A1440,"2021", D4:D1440,"Gestión integral de recursos atmosféricos y marinos y de las infraestructuras para su aprovechamiento")</f>
        <v>#DIV/0!</v>
      </c>
      <c r="BL75" s="37" t="e">
        <f>AVERAGEIFS( E4:E1440, A4:A1440,"2022", D4:D1440,"Gestión integral de recursos atmosféricos y marinos y de las infraestructuras para su aprovechamiento")</f>
        <v>#DIV/0!</v>
      </c>
      <c r="BM75" s="14">
        <v>5</v>
      </c>
      <c r="BN75" s="14">
        <v>0</v>
      </c>
      <c r="BO75" s="14">
        <v>6</v>
      </c>
      <c r="BP75" s="14">
        <v>0</v>
      </c>
      <c r="BQ75" s="14">
        <v>1</v>
      </c>
      <c r="BR75" s="14">
        <v>8</v>
      </c>
    </row>
    <row r="76" spans="1:70" ht="15" customHeight="1">
      <c r="A76" s="24">
        <v>2018</v>
      </c>
      <c r="B76" s="24" t="s">
        <v>78</v>
      </c>
      <c r="C76" s="24" t="s">
        <v>681</v>
      </c>
      <c r="D76" s="24" t="s">
        <v>278</v>
      </c>
      <c r="E76" s="23">
        <v>9</v>
      </c>
      <c r="F76" s="24" t="s">
        <v>207</v>
      </c>
      <c r="G76" s="24" t="s">
        <v>225</v>
      </c>
      <c r="H76" s="23" t="s">
        <v>226</v>
      </c>
      <c r="I76" s="24" t="s">
        <v>226</v>
      </c>
      <c r="J76" s="23" t="s">
        <v>226</v>
      </c>
      <c r="K76" s="24" t="s">
        <v>226</v>
      </c>
      <c r="L76" s="23"/>
      <c r="M76" s="26" t="s">
        <v>279</v>
      </c>
      <c r="N76" s="24">
        <v>2018</v>
      </c>
      <c r="O76" s="67" t="s">
        <v>91</v>
      </c>
      <c r="P76" s="68"/>
      <c r="Q76" s="68"/>
      <c r="R76" s="68"/>
      <c r="S76" s="68"/>
      <c r="T76" s="69"/>
      <c r="U76" s="5">
        <f>COUNTIFS(   D4:D1440,"Oceanografía física y ecosistemas marinos")</f>
        <v>1</v>
      </c>
      <c r="V76" s="5">
        <f>COUNTIFS(   D4:D1440,"Oceanografía física y ecosistemas marinos",F4:F1440,"Hombre")</f>
        <v>0</v>
      </c>
      <c r="W76" s="5">
        <f>COUNTIFS(   D4:D1440,"Oceanografía física y ecosistemas marinos",F4:F1440,"Mujer")</f>
        <v>1</v>
      </c>
      <c r="X76" s="19">
        <f>COUNTIFS(   A4:A1440,"2018", D4:D1440,"Oceanografía física y ecosistemas marinos")</f>
        <v>0</v>
      </c>
      <c r="Y76" s="5">
        <f>COUNTIFS(   A4:A1440,"2019", D4:D1440,"Oceanografía física y ecosistemas marinos")</f>
        <v>1</v>
      </c>
      <c r="Z76" s="5">
        <f>COUNTIFS(   A4:A1440,"2020", D4:D1440,"Oceanografía física y ecosistemas marinos")</f>
        <v>0</v>
      </c>
      <c r="AA76" s="5">
        <f>COUNTIFS(   A4:A1440,"2021", D4:D1440,"Oceanografía física y ecosistemas marinos")</f>
        <v>0</v>
      </c>
      <c r="AB76" s="5">
        <f>COUNTIFS(  A4:A1440,"2022", D4:D1440,"Oceanografía física y ecosistemas marinos")</f>
        <v>0</v>
      </c>
      <c r="AC76" s="19">
        <f>COUNTIFS(   N4:N1440,"2018", D4:D1440,"Oceanografía física y ecosistemas marinos")</f>
        <v>0</v>
      </c>
      <c r="AD76" s="5">
        <f>COUNTIFS(   N4:N1440,"2019", D4:D1440,"Oceanografía física y ecosistemas marinos")</f>
        <v>1</v>
      </c>
      <c r="AE76" s="5">
        <f>COUNTIFS(   N4:N1440,"2020", D4:D1440,"Oceanografía física y ecosistemas marinos")</f>
        <v>0</v>
      </c>
      <c r="AF76" s="5">
        <f>COUNTIFS(   N4:N1440,"2021", D4:D1440,"Oceanografía física y ecosistemas marinos")</f>
        <v>0</v>
      </c>
      <c r="AG76" s="5">
        <f>COUNTIFS(   N4:N1440,"2022", D4:D1440,"Oceanografía física y ecosistemas marinos")</f>
        <v>0</v>
      </c>
      <c r="AH76" s="5">
        <f>COUNTIFS(   D4:D1440,"Oceanografía física y ecosistemas marinos",G4:G1440,"Sí")</f>
        <v>0</v>
      </c>
      <c r="AI76" s="5">
        <f>COUNTIFS(   D4:D1440,"Oceanografía física y ecosistemas marinos",G4:G1440,"No")</f>
        <v>1</v>
      </c>
      <c r="AJ76" s="5">
        <f>SUMIFS( E4:E1440, D4:D1440,"Oceanografía física y ecosistemas marinos",G4:G1440,"Sí")</f>
        <v>0</v>
      </c>
      <c r="AK76" s="5">
        <f>SUMIFS( E4:E1440, D4:D1440,"Oceanografía física y ecosistemas marinos",G4:G1440,"No")</f>
        <v>4</v>
      </c>
      <c r="AL76" s="5">
        <f>COUNTIFS(   D4:D1440,"Oceanografía física y ecosistemas marinos",H4:H1440,"Sí")</f>
        <v>1</v>
      </c>
      <c r="AM76" s="5">
        <f>COUNTIFS(   D4:D1440,"Oceanografía física y ecosistemas marinos",I4:I1440,"Sí")</f>
        <v>1</v>
      </c>
      <c r="AN76" s="5">
        <f>COUNTIFS(   D4:D1440,"Oceanografía física y ecosistemas marinos",I4:I1440,"No")</f>
        <v>0</v>
      </c>
      <c r="AO76" s="5">
        <f>SUMIFS( E4:E1440, D4:D1440,"Oceanografía física y ecosistemas marinos",I4:I1440,"Sí")</f>
        <v>4</v>
      </c>
      <c r="AP76" s="5">
        <f>SUMIFS( E4:E1440, D4:D1440,"Oceanografía física y ecosistemas marinos",I4:I1440,"No")</f>
        <v>0</v>
      </c>
      <c r="AQ76" s="5">
        <f>COUNTIFS(   D4:D1440,"Oceanografía física y ecosistemas marinos",J4:J1440,"Sí")</f>
        <v>1</v>
      </c>
      <c r="AR76" s="5">
        <f>COUNTIFS(   D4:D1440,"Oceanografía física y ecosistemas marinos",K4:K1440,"Sí")</f>
        <v>1</v>
      </c>
      <c r="AS76" s="5">
        <f>COUNTIFS(   D4:D1440,"Oceanografía física y ecosistemas marinos",L4:L1440,"Sí")</f>
        <v>0</v>
      </c>
      <c r="AT76" s="5">
        <f>SUMIFS( E4:E1440, D4:D1440,"Oceanografía física y ecosistemas marinos")</f>
        <v>4</v>
      </c>
      <c r="AU76" s="5">
        <f>SUMIFS( E4:E1440, F4:F1440,"Hombre", D4:D1440,"Oceanografía física y ecosistemas marinos")</f>
        <v>0</v>
      </c>
      <c r="AV76" s="5">
        <f>SUMIFS( E4:E1440, F4:F1440,"Mujer", D4:D1440,"Oceanografía física y ecosistemas marinos")</f>
        <v>4</v>
      </c>
      <c r="AW76" s="19">
        <f>SUMIFS( E4:E1440, A4:A1440,"2018", D4:D1440,"Oceanografía física y ecosistemas marinos")</f>
        <v>0</v>
      </c>
      <c r="AX76" s="5">
        <f>SUMIFS( E4:E1440, A4:A1440,"2019", D4:D1440,"Oceanografía física y ecosistemas marinos")</f>
        <v>4</v>
      </c>
      <c r="AY76" s="5">
        <f>SUMIFS( E4:E1440, A4:A1440,"2020", D4:D1440,"Oceanografía física y ecosistemas marinos")</f>
        <v>0</v>
      </c>
      <c r="AZ76" s="5">
        <f>SUMIFS( E4:E1440, A4:A1440,"2021", D4:D1440,"Oceanografía física y ecosistemas marinos")</f>
        <v>0</v>
      </c>
      <c r="BA76" s="5">
        <f>SUMIFS( E4:E1440, A4:A1440,"2022", D4:D1440,"Oceanografía física y ecosistemas marinos")</f>
        <v>0</v>
      </c>
      <c r="BB76" s="19">
        <f>SUMIFS( E4:E1440, N4:N1440,"2018", D4:D1440,"Oceanografía física y ecosistemas marinos")</f>
        <v>0</v>
      </c>
      <c r="BC76" s="5">
        <f>SUMIFS( E4:E1440, N4:N1440,"2019", D4:D1440,"Oceanografía física y ecosistemas marinos")</f>
        <v>4</v>
      </c>
      <c r="BD76" s="5">
        <f>SUMIFS( E4:E1440, N4:N1440,"2020", D4:D1440,"Oceanografía física y ecosistemas marinos")</f>
        <v>0</v>
      </c>
      <c r="BE76" s="5">
        <f>SUMIFS( E4:E1440, N4:N1440,"2021", D4:D1440,"Oceanografía física y ecosistemas marinos")</f>
        <v>0</v>
      </c>
      <c r="BF76" s="5">
        <f>SUMIFS( E4:E1440, N4:N1440,"2022", D4:D1440,"Oceanografía física y ecosistemas marinos")</f>
        <v>0</v>
      </c>
      <c r="BG76" s="14">
        <f>AVERAGEIFS( E4:E1440, D4:D1440,"Oceanografía física y ecosistemas marinos")</f>
        <v>4</v>
      </c>
      <c r="BH76" s="14">
        <v>0</v>
      </c>
      <c r="BI76" s="14">
        <f>AVERAGEIFS( E4:E1440, A4:A1440,"2019", D4:D1440,"Oceanografía física y ecosistemas marinos")</f>
        <v>4</v>
      </c>
      <c r="BJ76" s="14">
        <v>0</v>
      </c>
      <c r="BK76" s="14">
        <v>0</v>
      </c>
      <c r="BL76" s="37">
        <v>0</v>
      </c>
      <c r="BM76" s="14">
        <v>17</v>
      </c>
      <c r="BN76" s="14">
        <v>0</v>
      </c>
      <c r="BO76" s="14">
        <v>17</v>
      </c>
      <c r="BP76" s="14">
        <v>0</v>
      </c>
      <c r="BQ76" s="14">
        <v>0</v>
      </c>
      <c r="BR76" s="14">
        <v>0</v>
      </c>
    </row>
    <row r="77" spans="1:70" ht="15" customHeight="1">
      <c r="A77" s="24">
        <v>2018</v>
      </c>
      <c r="B77" s="24" t="s">
        <v>4</v>
      </c>
      <c r="C77" s="24" t="s">
        <v>5</v>
      </c>
      <c r="D77" s="24" t="s">
        <v>7</v>
      </c>
      <c r="E77" s="23">
        <v>50</v>
      </c>
      <c r="F77" s="24" t="s">
        <v>207</v>
      </c>
      <c r="G77" s="24" t="s">
        <v>225</v>
      </c>
      <c r="H77" s="23" t="s">
        <v>226</v>
      </c>
      <c r="I77" s="24" t="s">
        <v>226</v>
      </c>
      <c r="J77" s="23" t="s">
        <v>226</v>
      </c>
      <c r="K77" s="24" t="s">
        <v>226</v>
      </c>
      <c r="L77" s="23"/>
      <c r="M77" s="26" t="s">
        <v>279</v>
      </c>
      <c r="N77" s="24">
        <v>2018</v>
      </c>
      <c r="O77" s="67" t="s">
        <v>90</v>
      </c>
      <c r="P77" s="68"/>
      <c r="Q77" s="68"/>
      <c r="R77" s="68"/>
      <c r="S77" s="68"/>
      <c r="T77" s="69"/>
      <c r="U77" s="5">
        <f>COUNTIFS(   D4:D1440,"Procesos litorales y evolución de los sistemas costeros")</f>
        <v>2</v>
      </c>
      <c r="V77" s="5">
        <f>COUNTIFS(   D4:D1440,"Procesos litorales y evolución de los sistemas costeros",F4:F1440,"Hombre")</f>
        <v>1</v>
      </c>
      <c r="W77" s="5">
        <f>COUNTIFS(   D4:D1440,"Procesos litorales y evolución de los sistemas costeros",F4:F1440,"Mujer")</f>
        <v>1</v>
      </c>
      <c r="X77" s="19">
        <f>COUNTIFS(   A4:A1440,"2018", D4:D1440,"Procesos litorales y evolución de los sistemas costeros")</f>
        <v>0</v>
      </c>
      <c r="Y77" s="5">
        <f>COUNTIFS(   A4:A1440,"2019", D4:D1440,"Procesos litorales y evolución de los sistemas costeros")</f>
        <v>1</v>
      </c>
      <c r="Z77" s="5">
        <f>COUNTIFS(   A4:A1440,"2020", D4:D1440,"Procesos litorales y evolución de los sistemas costeros")</f>
        <v>1</v>
      </c>
      <c r="AA77" s="5">
        <f>COUNTIFS(   A4:A1440,"2021", D4:D1440,"Procesos litorales y evolución de los sistemas costeros")</f>
        <v>0</v>
      </c>
      <c r="AB77" s="5">
        <f>COUNTIFS(  A4:A1440,"2022", D4:D1440,"Procesos litorales y evolución de los sistemas costeros")</f>
        <v>0</v>
      </c>
      <c r="AC77" s="19">
        <f>COUNTIFS(   N4:N1440,"2018", D4:D1440,"Procesos litorales y evolución de los sistemas costeros")</f>
        <v>0</v>
      </c>
      <c r="AD77" s="5">
        <f>COUNTIFS(   N4:N1440,"2019", D4:D1440,"Procesos litorales y evolución de los sistemas costeros")</f>
        <v>0</v>
      </c>
      <c r="AE77" s="5">
        <f>COUNTIFS(   N4:N1440,"2020", D4:D1440,"Procesos litorales y evolución de los sistemas costeros")</f>
        <v>2</v>
      </c>
      <c r="AF77" s="5">
        <f>COUNTIFS(   N4:N1440,"2021", D4:D1440,"Procesos litorales y evolución de los sistemas costeros")</f>
        <v>0</v>
      </c>
      <c r="AG77" s="5">
        <f>COUNTIFS(   N4:N1440,"2022", D4:D1440,"Procesos litorales y evolución de los sistemas costeros")</f>
        <v>0</v>
      </c>
      <c r="AH77" s="5">
        <f>COUNTIFS(   D4:D1440,"Procesos litorales y evolución de los sistemas costeros",G4:G1440,"Sí")</f>
        <v>0</v>
      </c>
      <c r="AI77" s="5">
        <f>COUNTIFS(   D4:D1440,"Procesos litorales y evolución de los sistemas costeros",G4:G1440,"No")</f>
        <v>2</v>
      </c>
      <c r="AJ77" s="5">
        <f>SUMIFS( E4:E1440, D4:D1440,"Procesos litorales y evolución de los sistemas costeros",G4:G1440,"Sí")</f>
        <v>0</v>
      </c>
      <c r="AK77" s="5">
        <f>SUMIFS( E4:E1440, D4:D1440,"Procesos litorales y evolución de los sistemas costeros",G4:G1440,"No")</f>
        <v>7</v>
      </c>
      <c r="AL77" s="5">
        <f>COUNTIFS(   D4:D1440,"Procesos litorales y evolución de los sistemas costeros",H4:H1440,"Sí")</f>
        <v>2</v>
      </c>
      <c r="AM77" s="5">
        <f>COUNTIFS(   D4:D1440,"Procesos litorales y evolución de los sistemas costeros",I4:I1440,"Sí")</f>
        <v>0</v>
      </c>
      <c r="AN77" s="5">
        <f>COUNTIFS(   D4:D1440,"Procesos litorales y evolución de los sistemas costeros",I4:I1440,"No")</f>
        <v>2</v>
      </c>
      <c r="AO77" s="5">
        <f>SUMIFS( E4:E1440, D4:D1440,"Procesos litorales y evolución de los sistemas costeros",I4:I1440,"Sí")</f>
        <v>0</v>
      </c>
      <c r="AP77" s="5">
        <f>SUMIFS( E4:E1440, D4:D1440,"Procesos litorales y evolución de los sistemas costeros",I4:I1440,"No")</f>
        <v>7</v>
      </c>
      <c r="AQ77" s="5">
        <f>COUNTIFS(   D4:D1440,"Procesos litorales y evolución de los sistemas costeros",J4:J1440,"Sí")</f>
        <v>2</v>
      </c>
      <c r="AR77" s="5">
        <f>COUNTIFS(   D4:D1440,"Procesos litorales y evolución de los sistemas costeros",K4:K1440,"Sí")</f>
        <v>0</v>
      </c>
      <c r="AS77" s="5">
        <f>COUNTIFS(   D4:D1440,"Procesos litorales y evolución de los sistemas costeros",L4:L1440,"Sí")</f>
        <v>0</v>
      </c>
      <c r="AT77" s="5">
        <f>SUMIFS( E4:E1440, D4:D1440,"Procesos litorales y evolución de los sistemas costeros")</f>
        <v>7</v>
      </c>
      <c r="AU77" s="5">
        <f>SUMIFS( E4:E1440, F4:F1440,"Hombre", D4:D1440,"Procesos litorales y evolución de los sistemas costeros")</f>
        <v>6</v>
      </c>
      <c r="AV77" s="5">
        <f>SUMIFS( E4:E1440, F4:F1440,"Mujer", D4:D1440,"Procesos litorales y evolución de los sistemas costeros")</f>
        <v>1</v>
      </c>
      <c r="AW77" s="19">
        <f>SUMIFS( E4:E1440, A4:A1440,"2018", D4:D1440,"Procesos litorales y evolución de los sistemas costeros")</f>
        <v>0</v>
      </c>
      <c r="AX77" s="5">
        <f>SUMIFS( E4:E1440, A4:A1440,"2019", D4:D1440,"Procesos litorales y evolución de los sistemas costeros")</f>
        <v>1</v>
      </c>
      <c r="AY77" s="5">
        <f>SUMIFS( E4:E1440, A4:A1440,"2020", D4:D1440,"Procesos litorales y evolución de los sistemas costeros")</f>
        <v>6</v>
      </c>
      <c r="AZ77" s="5">
        <f>SUMIFS( E4:E1440, A4:A1440,"2021", D4:D1440,"Procesos litorales y evolución de los sistemas costeros")</f>
        <v>0</v>
      </c>
      <c r="BA77" s="5">
        <f>SUMIFS( E4:E1440, A4:A1440,"2022", D4:D1440,"Procesos litorales y evolución de los sistemas costeros")</f>
        <v>0</v>
      </c>
      <c r="BB77" s="19">
        <f>SUMIFS( E4:E1440, N4:N1440,"2018", D4:D1440,"Procesos litorales y evolución de los sistemas costeros")</f>
        <v>0</v>
      </c>
      <c r="BC77" s="5">
        <f>SUMIFS( E4:E1440, N4:N1440,"2019", D4:D1440,"Procesos litorales y evolución de los sistemas costeros")</f>
        <v>0</v>
      </c>
      <c r="BD77" s="5">
        <f>SUMIFS( E4:E1440, N4:N1440,"2020", D4:D1440,"Procesos litorales y evolución de los sistemas costeros")</f>
        <v>7</v>
      </c>
      <c r="BE77" s="5">
        <f>SUMIFS( E4:E1440, N4:N1440,"2021", D4:D1440,"Procesos litorales y evolución de los sistemas costeros")</f>
        <v>0</v>
      </c>
      <c r="BF77" s="5">
        <f>SUMIFS( E4:E1440, N4:N1440,"2022", D4:D1440,"Procesos litorales y evolución de los sistemas costeros")</f>
        <v>0</v>
      </c>
      <c r="BG77" s="14">
        <f>AVERAGEIFS( E4:E1440, D4:D1440,"Procesos litorales y evolución de los sistemas costeros")</f>
        <v>3.5</v>
      </c>
      <c r="BH77" s="14">
        <v>0</v>
      </c>
      <c r="BI77" s="14">
        <v>0</v>
      </c>
      <c r="BJ77" s="14">
        <v>0</v>
      </c>
      <c r="BK77" s="14" t="e">
        <f>AVERAGEIFS( E4:E1440, A4:A1440,"2021", D4:D1440,"Procesos litorales y evolución de los sistemas costeros")</f>
        <v>#DIV/0!</v>
      </c>
      <c r="BL77" s="37" t="e">
        <f>AVERAGEIFS( E4:E1440, A4:A1440,"2022", D4:D1440,"Procesos litorales y evolución de los sistemas costeros")</f>
        <v>#DIV/0!</v>
      </c>
      <c r="BM77" s="14">
        <v>12.333333333333334</v>
      </c>
      <c r="BN77" s="14">
        <v>0</v>
      </c>
      <c r="BO77" s="14">
        <v>0</v>
      </c>
      <c r="BP77" s="14">
        <v>0</v>
      </c>
      <c r="BQ77" s="14">
        <v>6</v>
      </c>
      <c r="BR77" s="14">
        <v>25</v>
      </c>
    </row>
    <row r="78" spans="1:70" ht="15" customHeight="1">
      <c r="A78" s="24">
        <v>2018</v>
      </c>
      <c r="B78" s="24" t="s">
        <v>136</v>
      </c>
      <c r="C78" s="24" t="s">
        <v>176</v>
      </c>
      <c r="D78" s="24" t="s">
        <v>177</v>
      </c>
      <c r="E78" s="23">
        <v>4</v>
      </c>
      <c r="F78" s="24" t="s">
        <v>211</v>
      </c>
      <c r="G78" s="24" t="s">
        <v>225</v>
      </c>
      <c r="H78" s="23" t="s">
        <v>226</v>
      </c>
      <c r="I78" s="24" t="s">
        <v>225</v>
      </c>
      <c r="J78" s="23" t="s">
        <v>226</v>
      </c>
      <c r="K78" s="24" t="s">
        <v>226</v>
      </c>
      <c r="L78" s="23"/>
      <c r="M78" s="26" t="s">
        <v>280</v>
      </c>
      <c r="N78" s="24">
        <v>2018</v>
      </c>
      <c r="O78" s="40" t="s">
        <v>62</v>
      </c>
      <c r="P78" s="41"/>
      <c r="Q78" s="41"/>
      <c r="R78" s="41"/>
      <c r="S78" s="41"/>
      <c r="T78" s="42"/>
      <c r="U78" s="4">
        <f>COUNTIFS(   C4:C1440,"Estadística Matemática y Aplicada")</f>
        <v>12</v>
      </c>
      <c r="V78" s="4">
        <f>COUNTIFS(   C4:C1440,"Estadística Matemática y Aplicada",F4:F1440,"Hombre")</f>
        <v>8</v>
      </c>
      <c r="W78" s="4">
        <f>COUNTIFS(   C4:C1440,"Estadística Matemática y Aplicada",F4:F1440,"Mujer")</f>
        <v>4</v>
      </c>
      <c r="X78" s="18">
        <f>COUNTIFS(   A4:A1440,"2018", C4:C1440,"Estadística Matemática y Aplicada")</f>
        <v>1</v>
      </c>
      <c r="Y78" s="4">
        <f>COUNTIFS(   A4:A1440,"2019", C4:C1440,"Estadística Matemática y Aplicada")</f>
        <v>3</v>
      </c>
      <c r="Z78" s="4">
        <f>COUNTIFS(   A4:A1440,"2020", C4:C1440,"Estadística Matemática y Aplicada")</f>
        <v>6</v>
      </c>
      <c r="AA78" s="4">
        <f>COUNTIFS(   A4:A1440,"2021", C4:C1440,"Estadística Matemática y Aplicada")</f>
        <v>2</v>
      </c>
      <c r="AB78" s="4">
        <f>COUNTIFS(   A4:A1440,"2022", C4:C1440,"Estadística Matemática y Aplicada")</f>
        <v>0</v>
      </c>
      <c r="AC78" s="18">
        <f>COUNTIFS(   N4:N1440,"2018", C4:C1440,"Estadística Matemática y Aplicada")</f>
        <v>1</v>
      </c>
      <c r="AD78" s="4">
        <f>COUNTIFS(   N4:N1440,"2019", C4:C1440,"Estadística Matemática y Aplicada")</f>
        <v>0</v>
      </c>
      <c r="AE78" s="4">
        <f>COUNTIFS(   N4:N1440,"2020", C4:C1440,"Estadística Matemática y Aplicada")</f>
        <v>4</v>
      </c>
      <c r="AF78" s="4">
        <f>COUNTIFS(   N4:N1440,"2021", C4:C1440,"Estadística Matemática y Aplicada")</f>
        <v>6</v>
      </c>
      <c r="AG78" s="4">
        <f>COUNTIFS(   N4:N1440,"2022", C4:C1440,"Estadística Matemática y Aplicada")</f>
        <v>1</v>
      </c>
      <c r="AH78" s="4">
        <f>COUNTIFS(   C4:C1440,"Estadística Matemática y Aplicada",G4:G1440,"Sí")</f>
        <v>0</v>
      </c>
      <c r="AI78" s="4">
        <f>COUNTIFS(   C4:C1440,"Estadística Matemática y Aplicada",G4:G1440,"No")</f>
        <v>12</v>
      </c>
      <c r="AJ78" s="4">
        <f>SUMIFS( E4:E1440, C4:C1440,"Estadística Matemática y Aplicada",G4:G1440,"Sí")</f>
        <v>0</v>
      </c>
      <c r="AK78" s="4">
        <f>SUMIFS( E4:E1440, C4:C1440,"Estadística Matemática y Aplicada",G4:G1440,"No")</f>
        <v>39</v>
      </c>
      <c r="AL78" s="4">
        <f>COUNTIFS(   C4:C1440,"Estadística Matemática y Aplicada",H4:H1440,"Sí")</f>
        <v>11</v>
      </c>
      <c r="AM78" s="4">
        <f>COUNTIFS(   C4:C1440,"Estadística Matemática y Aplicada",I4:I1440,"Sí")</f>
        <v>6</v>
      </c>
      <c r="AN78" s="4">
        <f>COUNTIFS(   C4:C1440,"Estadística Matemática y Aplicada",I4:I1440,"No")</f>
        <v>6</v>
      </c>
      <c r="AO78" s="4">
        <f>SUMIFS( E4:E1440, C4:C1440,"Estadística Matemática y Aplicada",I4:I1440,"Sí")</f>
        <v>30</v>
      </c>
      <c r="AP78" s="4">
        <f>SUMIFS( E4:E1440, C4:C1440,"Estadística Matemática y Aplicada",I4:I1440,"No")</f>
        <v>9</v>
      </c>
      <c r="AQ78" s="4">
        <f>COUNTIFS(   C4:C1440,"Estadística Matemática y Aplicada",J4:J1440,"Sí")</f>
        <v>12</v>
      </c>
      <c r="AR78" s="4">
        <f>COUNTIFS(   C4:C1440,"Estadística Matemática y Aplicada",K4:K1440,"Sí")</f>
        <v>2</v>
      </c>
      <c r="AS78" s="4">
        <f>COUNTIFS(   C4:C1440,"Estadística Matemática y Aplicada",L4:L1440,"Sí")</f>
        <v>0</v>
      </c>
      <c r="AT78" s="4">
        <f>SUMIFS( E4:E1440, C4:C1440,"Estadística Matemática y Aplicada")</f>
        <v>39</v>
      </c>
      <c r="AU78" s="4">
        <f>SUMIFS( E4:E1440, F4:F1440,"Hombre", C4:C1440,"Estadística Matemática y Aplicada")</f>
        <v>36</v>
      </c>
      <c r="AV78" s="4">
        <f>SUMIFS( E4:E1440, F4:F1440,"Mujer", C4:C1440,"Estadística Matemática y Aplicada")</f>
        <v>3</v>
      </c>
      <c r="AW78" s="18">
        <f>SUMIFS( E4:E1440, A4:A1440,"2018", C4:C1440,"Estadística Matemática y Aplicada")</f>
        <v>0</v>
      </c>
      <c r="AX78" s="4">
        <f>SUMIFS( E4:E1440, A4:A1440,"2019", C4:C1440,"Estadística Matemática y Aplicada")</f>
        <v>7</v>
      </c>
      <c r="AY78" s="4">
        <f>SUMIFS( E4:E1440, A4:A1440,"2020", C4:C1440,"Estadística Matemática y Aplicada")</f>
        <v>30</v>
      </c>
      <c r="AZ78" s="4">
        <f>SUMIFS( E4:E1440, A4:A1440,"2021", C4:C1440,"Estadística Matemática y Aplicada")</f>
        <v>2</v>
      </c>
      <c r="BA78" s="4">
        <f>SUMIFS( E4:E1440, A4:A1440,"2022", C4:C1440,"Estadística Matemática y Aplicada")</f>
        <v>0</v>
      </c>
      <c r="BB78" s="18">
        <f>SUMIFS( E4:E1440, N4:N1440,"2018", C4:C1440,"Estadística Matemática y Aplicada")</f>
        <v>0</v>
      </c>
      <c r="BC78" s="4">
        <f>SUMIFS( E4:E1440, N4:N1440,"2019", C4:C1440,"Estadística Matemática y Aplicada")</f>
        <v>0</v>
      </c>
      <c r="BD78" s="4">
        <f>SUMIFS( E4:E1440, N4:N1440,"2020", C4:C1440,"Estadística Matemática y Aplicada")</f>
        <v>12</v>
      </c>
      <c r="BE78" s="4">
        <f>SUMIFS( E4:E1440, N4:N1440,"2021", C4:C1440,"Estadística Matemática y Aplicada")</f>
        <v>27</v>
      </c>
      <c r="BF78" s="4">
        <f>SUMIFS( E4:E1440, N4:N1440,"2022", C4:C1440,"Estadística Matemática y Aplicada")</f>
        <v>0</v>
      </c>
      <c r="BG78" s="13">
        <f>AVERAGEIFS( E4:E1440, C4:C1440,"Estadística Matemática y Aplicada")</f>
        <v>3.9</v>
      </c>
      <c r="BH78" s="13">
        <v>0</v>
      </c>
      <c r="BI78" s="13">
        <v>0</v>
      </c>
      <c r="BJ78" s="13">
        <v>0</v>
      </c>
      <c r="BK78" s="13">
        <f>AVERAGEIFS( E4:E1440, A4:A1440,"2021", C4:C1440,"Estadística Matemática y Aplicada")</f>
        <v>2</v>
      </c>
      <c r="BL78" s="37" t="e">
        <f>AVERAGEIFS( E4:E1440, A4:A1440,"2022", C4:C1440,"Estadística Matemática y Aplicada")</f>
        <v>#DIV/0!</v>
      </c>
      <c r="BM78" s="13">
        <f>AVERAGE(AT79:AT85)</f>
        <v>5.5714285714285712</v>
      </c>
      <c r="BN78" s="13">
        <v>0</v>
      </c>
      <c r="BO78" s="13">
        <v>0</v>
      </c>
      <c r="BP78" s="13">
        <v>0</v>
      </c>
      <c r="BQ78" s="13">
        <f>AVERAGE(AZ79:AZ85)</f>
        <v>0.2857142857142857</v>
      </c>
      <c r="BR78" s="13">
        <f>AVERAGE(BA79:BA85)</f>
        <v>0</v>
      </c>
    </row>
    <row r="79" spans="1:70" ht="15" customHeight="1">
      <c r="A79" s="24">
        <v>2018</v>
      </c>
      <c r="B79" s="24" t="s">
        <v>78</v>
      </c>
      <c r="C79" s="24" t="s">
        <v>95</v>
      </c>
      <c r="D79" s="24" t="s">
        <v>100</v>
      </c>
      <c r="E79" s="23">
        <v>2</v>
      </c>
      <c r="F79" s="24" t="s">
        <v>207</v>
      </c>
      <c r="G79" s="24" t="s">
        <v>225</v>
      </c>
      <c r="H79" s="23" t="s">
        <v>226</v>
      </c>
      <c r="I79" s="24" t="s">
        <v>225</v>
      </c>
      <c r="J79" s="23" t="s">
        <v>226</v>
      </c>
      <c r="K79" s="24" t="s">
        <v>226</v>
      </c>
      <c r="L79" s="23"/>
      <c r="M79" s="26" t="s">
        <v>280</v>
      </c>
      <c r="N79" s="24">
        <v>2018</v>
      </c>
      <c r="O79" s="67" t="s">
        <v>93</v>
      </c>
      <c r="P79" s="68"/>
      <c r="Q79" s="68"/>
      <c r="R79" s="68"/>
      <c r="S79" s="68"/>
      <c r="T79" s="69"/>
      <c r="U79" s="5">
        <f>COUNTIFS(   D4:D1440,"Análisis multivariante e inferencia en procesos multivariantes")</f>
        <v>2</v>
      </c>
      <c r="V79" s="5">
        <f>COUNTIFS(   D4:D1440,"Análisis multivariante e inferencia en procesos multivariantes",F4:F1440,"Hombre")</f>
        <v>1</v>
      </c>
      <c r="W79" s="5">
        <f>COUNTIFS(   D4:D1440,"Análisis multivariante e inferencia en procesos multivariantes",F4:F1440,"Mujer")</f>
        <v>1</v>
      </c>
      <c r="X79" s="19">
        <f>COUNTIFS(   A4:A1440,"2018", D4:D1440,"Análisis multivariante e inferencia en procesos multivariantes")</f>
        <v>0</v>
      </c>
      <c r="Y79" s="5">
        <f>COUNTIFS(   A4:A1440,"2019", D4:D1440,"Análisis multivariante e inferencia en procesos multivariantes")</f>
        <v>1</v>
      </c>
      <c r="Z79" s="5">
        <f>COUNTIFS(   A4:A1440,"2020", D4:D1440,"Análisis multivariante e inferencia en procesos multivariantes")</f>
        <v>1</v>
      </c>
      <c r="AA79" s="5">
        <f>COUNTIFS(   A4:A1440,"2021", D4:D1440,"Análisis multivariante e inferencia en procesos multivariantes")</f>
        <v>0</v>
      </c>
      <c r="AB79" s="5">
        <f>COUNTIFS(  A4:A1440,"2022", D4:D1440,"Análisis multivariante e inferencia en procesos multivariantes")</f>
        <v>0</v>
      </c>
      <c r="AC79" s="19">
        <f>COUNTIFS(   N4:N1440,"2018", D4:D1440,"Análisis multivariante e inferencia en procesos multivariantes")</f>
        <v>0</v>
      </c>
      <c r="AD79" s="5">
        <f>COUNTIFS(   N4:N1440,"2019", D4:D1440,"Análisis multivariante e inferencia en procesos multivariantes")</f>
        <v>0</v>
      </c>
      <c r="AE79" s="5">
        <f>COUNTIFS(   N4:N1440,"2020", D4:D1440,"Análisis multivariante e inferencia en procesos multivariantes")</f>
        <v>1</v>
      </c>
      <c r="AF79" s="5">
        <f>COUNTIFS(   N4:N1440,"2021", D4:D1440,"Análisis multivariante e inferencia en procesos multivariantes")</f>
        <v>1</v>
      </c>
      <c r="AG79" s="5">
        <f>COUNTIFS(   N4:N1440,"2022", D4:D1440,"Análisis multivariante e inferencia en procesos multivariantes")</f>
        <v>0</v>
      </c>
      <c r="AH79" s="5">
        <f>COUNTIFS(   D4:D1440,"Análisis multivariante e inferencia en procesos multivariantes",G4:G1440,"Sí")</f>
        <v>0</v>
      </c>
      <c r="AI79" s="5">
        <f>COUNTIFS(   D4:D1440,"Análisis multivariante e inferencia en procesos multivariantes",G4:G1440,"No")</f>
        <v>2</v>
      </c>
      <c r="AJ79" s="5">
        <f>SUMIFS( E4:E1440, D4:D1440,"Análisis multivariante e inferencia en procesos multivariantes",G4:G1440,"Sí")</f>
        <v>0</v>
      </c>
      <c r="AK79" s="5">
        <f>SUMIFS( E4:E1440, D4:D1440,"Análisis multivariante e inferencia en procesos multivariantes",G4:G1440,"No")</f>
        <v>2</v>
      </c>
      <c r="AL79" s="5">
        <f>COUNTIFS(   D4:D1440,"Análisis multivariante e inferencia en procesos multivariantes",H4:H1440,"Sí")</f>
        <v>2</v>
      </c>
      <c r="AM79" s="5">
        <f>COUNTIFS(   D4:D1440,"Análisis multivariante e inferencia en procesos multivariantes",I4:I1440,"Sí")</f>
        <v>1</v>
      </c>
      <c r="AN79" s="5">
        <f>COUNTIFS(   D4:D1440,"Análisis multivariante e inferencia en procesos multivariantes",I4:I1440,"No")</f>
        <v>1</v>
      </c>
      <c r="AO79" s="5">
        <f>SUMIFS( E4:E1440, D4:D1440,"Análisis multivariante e inferencia en procesos multivariantes",I4:I1440,"Sí")</f>
        <v>1</v>
      </c>
      <c r="AP79" s="5">
        <f>SUMIFS( E4:E1440, D4:D1440,"Análisis multivariante e inferencia en procesos multivariantes",I4:I1440,"No")</f>
        <v>1</v>
      </c>
      <c r="AQ79" s="5">
        <f>COUNTIFS(   D4:D1440,"Análisis multivariante e inferencia en procesos multivariantes",J4:J1440,"Sí")</f>
        <v>2</v>
      </c>
      <c r="AR79" s="5">
        <f>COUNTIFS(   D4:D1440,"Análisis multivariante e inferencia en procesos multivariantes",K4:K1440,"Sí")</f>
        <v>0</v>
      </c>
      <c r="AS79" s="5">
        <f>COUNTIFS(   D4:D1440,"Análisis multivariante e inferencia en procesos multivariantes",L4:L1440,"Sí")</f>
        <v>0</v>
      </c>
      <c r="AT79" s="5">
        <f>SUMIFS( E4:E1440, D4:D1440,"Análisis multivariante e inferencia en procesos multivariantes")</f>
        <v>2</v>
      </c>
      <c r="AU79" s="5">
        <f>SUMIFS( E4:E1440, F4:F1440,"Hombre", D4:D1440,"Análisis multivariante e inferencia en procesos multivariantes")</f>
        <v>1</v>
      </c>
      <c r="AV79" s="5">
        <f>SUMIFS( E4:E1440, F4:F1440,"Mujer", D4:D1440,"Análisis multivariante e inferencia en procesos multivariantes")</f>
        <v>1</v>
      </c>
      <c r="AW79" s="19">
        <f>SUMIFS( E4:E1440, A4:A1440,"2018", D4:D1440,"Análisis multivariante e inferencia en procesos multivariantes")</f>
        <v>0</v>
      </c>
      <c r="AX79" s="5">
        <f>SUMIFS( E4:E1440, A4:A1440,"2019", D4:D1440,"Análisis multivariante e inferencia en procesos multivariantes")</f>
        <v>1</v>
      </c>
      <c r="AY79" s="5">
        <f>SUMIFS( E4:E1440, A4:A1440,"2020", D4:D1440,"Análisis multivariante e inferencia en procesos multivariantes")</f>
        <v>1</v>
      </c>
      <c r="AZ79" s="5">
        <f>SUMIFS( E4:E1440, A4:A1440,"2021", D4:D1440,"Análisis multivariante e inferencia en procesos multivariantes")</f>
        <v>0</v>
      </c>
      <c r="BA79" s="5">
        <f>SUMIFS( E4:E1440, A4:A1440,"2022", D4:D1440,"Análisis multivariante e inferencia en procesos multivariantes")</f>
        <v>0</v>
      </c>
      <c r="BB79" s="19">
        <f>SUMIFS( E4:E1440, N4:N1440,"2018", D4:D1440,"Análisis multivariante e inferencia en procesos multivariantes")</f>
        <v>0</v>
      </c>
      <c r="BC79" s="5">
        <f>SUMIFS( E4:E1440, N4:N1440,"2019", D4:D1440,"Análisis multivariante e inferencia en procesos multivariantes")</f>
        <v>0</v>
      </c>
      <c r="BD79" s="5">
        <f>SUMIFS( E4:E1440, N4:N1440,"2020", D4:D1440,"Análisis multivariante e inferencia en procesos multivariantes")</f>
        <v>1</v>
      </c>
      <c r="BE79" s="5">
        <f>SUMIFS( E4:E1440, N4:N1440,"2021", D4:D1440,"Análisis multivariante e inferencia en procesos multivariantes")</f>
        <v>1</v>
      </c>
      <c r="BF79" s="5">
        <f>SUMIFS( E4:E1440, N4:N1440,"2022", D4:D1440,"Análisis multivariante e inferencia en procesos multivariantes")</f>
        <v>0</v>
      </c>
      <c r="BG79" s="14">
        <f>AVERAGEIFS( E4:E1440, D4:D1440,"Análisis multivariante e inferencia en procesos multivariantes")</f>
        <v>1</v>
      </c>
      <c r="BH79" s="14">
        <v>0</v>
      </c>
      <c r="BI79" s="14">
        <v>0</v>
      </c>
      <c r="BJ79" s="14">
        <v>0</v>
      </c>
      <c r="BK79" s="14">
        <v>0</v>
      </c>
      <c r="BL79" s="37" t="e">
        <f>AVERAGEIFS( E4:E1440, A4:A1440,"2022", D4:D1440,"Análisis multivariante e inferencia en procesos multivariantes")</f>
        <v>#DIV/0!</v>
      </c>
      <c r="BM79" s="14">
        <v>2</v>
      </c>
      <c r="BN79" s="14">
        <v>0</v>
      </c>
      <c r="BO79" s="14">
        <v>0</v>
      </c>
      <c r="BP79" s="14">
        <v>0</v>
      </c>
      <c r="BQ79" s="14">
        <v>0</v>
      </c>
      <c r="BR79" s="14">
        <v>2</v>
      </c>
    </row>
    <row r="80" spans="1:70" ht="15" customHeight="1">
      <c r="A80" s="24">
        <v>2018</v>
      </c>
      <c r="B80" s="24" t="s">
        <v>136</v>
      </c>
      <c r="C80" s="24" t="s">
        <v>171</v>
      </c>
      <c r="D80" s="24" t="s">
        <v>174</v>
      </c>
      <c r="E80" s="23">
        <v>6</v>
      </c>
      <c r="F80" s="24" t="s">
        <v>207</v>
      </c>
      <c r="G80" s="24" t="s">
        <v>225</v>
      </c>
      <c r="H80" s="23" t="s">
        <v>226</v>
      </c>
      <c r="I80" s="24" t="s">
        <v>226</v>
      </c>
      <c r="J80" s="23" t="s">
        <v>226</v>
      </c>
      <c r="K80" s="24" t="s">
        <v>226</v>
      </c>
      <c r="L80" s="23"/>
      <c r="M80" s="26" t="s">
        <v>280</v>
      </c>
      <c r="N80" s="24">
        <v>2018</v>
      </c>
      <c r="O80" s="51" t="s">
        <v>422</v>
      </c>
      <c r="P80" s="52"/>
      <c r="Q80" s="52"/>
      <c r="R80" s="52"/>
      <c r="S80" s="52"/>
      <c r="T80" s="53"/>
      <c r="U80" s="5">
        <f>COUNTIFS(   D3:D1439,"Análisis de datos funcionales")</f>
        <v>2</v>
      </c>
      <c r="V80" s="5">
        <f>COUNTIFS(   D3:D1439,"Análisis de datos funcionales",F3:F1439,"Hombre")</f>
        <v>1</v>
      </c>
      <c r="W80" s="5">
        <f>COUNTIFS(   D3:D1439,"Análisis de datos funcionales",F3:F1439,"Mujer")</f>
        <v>1</v>
      </c>
      <c r="X80" s="19">
        <f>COUNTIFS(   A3:A1439,"2018", D3:D1439,"Análisis de datos funcionales")</f>
        <v>0</v>
      </c>
      <c r="Y80" s="5">
        <f>COUNTIFS(   A3:A1439,"2019", D3:D1439,"Análisis de datos funcionales")</f>
        <v>1</v>
      </c>
      <c r="Z80" s="5">
        <f>COUNTIFS(   A3:A1439,"2020", D3:D1439,"Análisis de datos funcionales")</f>
        <v>1</v>
      </c>
      <c r="AA80" s="5">
        <f>COUNTIFS(   A3:A1439,"2021", D3:D1439,"Análisis de datos funcionales")</f>
        <v>0</v>
      </c>
      <c r="AB80" s="5">
        <f>COUNTIFS(  A3:A1439,"2022", D3:D1439,"Análisis de datos funcionales")</f>
        <v>0</v>
      </c>
      <c r="AC80" s="19">
        <f>COUNTIFS(   N3:N1439,"2018", D3:D1439,"Análisis de datos funcionales")</f>
        <v>0</v>
      </c>
      <c r="AD80" s="5">
        <f>COUNTIFS(   N3:N1439,"2019", D3:D1439,"Análisis de datos funcionales")</f>
        <v>0</v>
      </c>
      <c r="AE80" s="5">
        <f>COUNTIFS(   N3:N1439,"2020", D3:D1439,"Análisis de datos funcionales")</f>
        <v>1</v>
      </c>
      <c r="AF80" s="5">
        <f>COUNTIFS(   N3:N1439,"2021", D3:D1439,"Análisis de datos funcionales")</f>
        <v>1</v>
      </c>
      <c r="AG80" s="5">
        <f>COUNTIFS(   N3:N1439,"2022", D3:D1439,"Análisis de datos funcionales")</f>
        <v>0</v>
      </c>
      <c r="AH80" s="5">
        <f>COUNTIFS(   D3:D1439,"Análisis de datos funcionales",G3:G1439,"Sí")</f>
        <v>0</v>
      </c>
      <c r="AI80" s="5">
        <f>COUNTIFS(   D3:D1439,"Análisis de datos funcionales",G3:G1439,"No")</f>
        <v>2</v>
      </c>
      <c r="AJ80" s="5">
        <f>SUMIFS( E3:E1439, D3:D1439,"Análisis de datos funcionales",G3:G1439,"Sí")</f>
        <v>0</v>
      </c>
      <c r="AK80" s="5">
        <f>SUMIFS( E3:E1439, D3:D1439,"Análisis de datos funcionales",G3:G1439,"No")</f>
        <v>2</v>
      </c>
      <c r="AL80" s="5">
        <f>COUNTIFS(   D3:D1439,"Análisis de datos funcionales",H3:H1439,"Sí")</f>
        <v>2</v>
      </c>
      <c r="AM80" s="5">
        <f>COUNTIFS(   D3:D1439,"Análisis de datos funcionales",I3:I1439,"Sí")</f>
        <v>1</v>
      </c>
      <c r="AN80" s="5">
        <f>COUNTIFS(   D3:D1439,"Análisis de datos funcionales",I3:I1439,"No")</f>
        <v>1</v>
      </c>
      <c r="AO80" s="5">
        <f>SUMIFS( E3:E1439, D3:D1439,"Análisis de datos funcionales",I3:I1439,"Sí")</f>
        <v>1</v>
      </c>
      <c r="AP80" s="5">
        <f>SUMIFS( E3:E1439, D3:D1439,"Análisis de datos funcionales",I3:I1439,"No")</f>
        <v>1</v>
      </c>
      <c r="AQ80" s="5">
        <f>COUNTIFS(   D3:D1439,"Análisis de datos funcionales",J3:J1439,"Sí")</f>
        <v>2</v>
      </c>
      <c r="AR80" s="5">
        <f>COUNTIFS(   D3:D1439,"Análisis de datos funcionales",K3:K1439,"Sí")</f>
        <v>1</v>
      </c>
      <c r="AS80" s="5">
        <f>COUNTIFS(   D3:D1439,"Análisis de datos funcionales",L3:L1439,"Sí")</f>
        <v>0</v>
      </c>
      <c r="AT80" s="5">
        <f>SUMIFS( E3:E1439, D3:D1439,"Análisis de datos funcionales")</f>
        <v>2</v>
      </c>
      <c r="AU80" s="5">
        <f>SUMIFS( E3:E1439, F3:F1439,"Hombre", D3:D1439,"Análisis de datos funcionales")</f>
        <v>1</v>
      </c>
      <c r="AV80" s="5">
        <f>SUMIFS( E3:E1439, F3:F1439,"Mujer", D3:D1439,"Análisis de datos funcionales")</f>
        <v>1</v>
      </c>
      <c r="AW80" s="19">
        <f>SUMIFS( E3:E1439, A3:A1439,"2018", D3:D1439,"Análisis de datos funcionales")</f>
        <v>0</v>
      </c>
      <c r="AX80" s="5">
        <f>SUMIFS( E3:E1439, A3:A1439,"2019", D3:D1439,"Análisis de datos funcionales")</f>
        <v>1</v>
      </c>
      <c r="AY80" s="5">
        <f>SUMIFS( E3:E1439, A3:A1439,"2020", D3:D1439,"Análisis de datos funcionales")</f>
        <v>1</v>
      </c>
      <c r="AZ80" s="5">
        <f>SUMIFS( E3:E1439, A3:A1439,"2021", D3:D1439,"Análisis de datos funcionales")</f>
        <v>0</v>
      </c>
      <c r="BA80" s="5">
        <f>SUMIFS( E3:E1439, A3:A1439,"2022", D3:D1439,"Análisis de datos funcionales")</f>
        <v>0</v>
      </c>
      <c r="BB80" s="19">
        <f>SUMIFS( E3:E1439, N3:N1439,"2018", D3:D1439,"Análisis de datos funcionales")</f>
        <v>0</v>
      </c>
      <c r="BC80" s="5">
        <f>SUMIFS( E3:E1439, N3:N1439,"2019", D3:D1439,"Análisis de datos funcionales")</f>
        <v>0</v>
      </c>
      <c r="BD80" s="5">
        <f>SUMIFS( E3:E1439, N3:N1439,"2020", D3:D1439,"Análisis de datos funcionales")</f>
        <v>1</v>
      </c>
      <c r="BE80" s="5">
        <f>SUMIFS( E3:E1439, N3:N1439,"2021", D3:D1439,"Análisis de datos funcionales")</f>
        <v>1</v>
      </c>
      <c r="BF80" s="5">
        <f>SUMIFS( E3:E1439, N3:N1439,"2022", D3:D1439,"Análisis de datos funcionales")</f>
        <v>0</v>
      </c>
      <c r="BG80" s="14">
        <f>AVERAGEIFS( E3:E1439, D3:D1439,"Análisis de datos funcionales")</f>
        <v>1</v>
      </c>
      <c r="BH80" s="14"/>
      <c r="BI80" s="14"/>
      <c r="BJ80" s="14"/>
      <c r="BK80" s="14"/>
      <c r="BL80" s="37"/>
      <c r="BM80" s="14"/>
      <c r="BN80" s="14"/>
      <c r="BO80" s="14"/>
      <c r="BP80" s="14"/>
      <c r="BQ80" s="14"/>
      <c r="BR80" s="14"/>
    </row>
    <row r="81" spans="1:70" ht="15" customHeight="1">
      <c r="A81" s="24">
        <v>2018</v>
      </c>
      <c r="B81" s="24" t="s">
        <v>136</v>
      </c>
      <c r="C81" s="24" t="s">
        <v>176</v>
      </c>
      <c r="D81" s="24" t="s">
        <v>181</v>
      </c>
      <c r="E81" s="23">
        <v>27</v>
      </c>
      <c r="F81" s="24" t="s">
        <v>211</v>
      </c>
      <c r="G81" s="24" t="s">
        <v>225</v>
      </c>
      <c r="H81" s="23" t="s">
        <v>226</v>
      </c>
      <c r="I81" s="24" t="s">
        <v>226</v>
      </c>
      <c r="J81" s="23" t="s">
        <v>226</v>
      </c>
      <c r="K81" s="24" t="s">
        <v>226</v>
      </c>
      <c r="L81" s="23"/>
      <c r="M81" s="26" t="s">
        <v>280</v>
      </c>
      <c r="N81" s="24">
        <v>2018</v>
      </c>
      <c r="O81" s="29" t="s">
        <v>577</v>
      </c>
      <c r="P81" s="30"/>
      <c r="Q81" s="30"/>
      <c r="R81" s="30"/>
      <c r="S81" s="30"/>
      <c r="T81" s="31"/>
      <c r="U81" s="5">
        <f>COUNTIFS(   D4:D1440,"Modelos markovianos y fiabilidad de sistemas")</f>
        <v>1</v>
      </c>
      <c r="V81" s="5">
        <f>COUNTIFS(   D4:D1440,"Modelos markovianos y fiabilidad de sistemas",F4:F1440,"Hombre")</f>
        <v>0</v>
      </c>
      <c r="W81" s="5">
        <f>COUNTIFS(   D4:D1440,"Modelos markovianos y fiabilidad de sistemas",F4:F1440,"Mujer")</f>
        <v>1</v>
      </c>
      <c r="X81" s="19">
        <f>COUNTIFS(   A4:A1440,"2018", D4:D1440,"Modelos markovianos y fiabilidad de sistemas")</f>
        <v>0</v>
      </c>
      <c r="Y81" s="5">
        <f>COUNTIFS(   A4:A1440,"2019", D4:D1440,"Modelos markovianos y fiabilidad de sistemas")</f>
        <v>0</v>
      </c>
      <c r="Z81" s="5">
        <f>COUNTIFS(   A4:A1440,"2020", D4:D1440,"Modelos markovianos y fiabilidad de sistemas")</f>
        <v>1</v>
      </c>
      <c r="AA81" s="5">
        <f>COUNTIFS(   A4:A1440,"2021", D4:D1440,"Modelos markovianos y fiabilidad de sistemas")</f>
        <v>0</v>
      </c>
      <c r="AB81" s="5">
        <f>COUNTIFS(  A4:A1440,"2022", D4:D1440,"Modelos markovianos y fiabilidad de sistemas")</f>
        <v>0</v>
      </c>
      <c r="AC81" s="19">
        <f>COUNTIFS(   N4:N1440,"2018", D4:D1440,"Modelos markovianos y fiabilidad de sistemas")</f>
        <v>0</v>
      </c>
      <c r="AD81" s="5">
        <f>COUNTIFS(   N4:N1440,"2019", D4:D1440,"Modelos markovianos y fiabilidad de sistemas")</f>
        <v>0</v>
      </c>
      <c r="AE81" s="5">
        <f>COUNTIFS(   N4:N1440,"2020", D4:D1440,"Modelos markovianos y fiabilidad de sistemas")</f>
        <v>0</v>
      </c>
      <c r="AF81" s="5">
        <f>COUNTIFS(   N4:N1440,"2021", D4:D1440,"Modelos markovianos y fiabilidad de sistemas")</f>
        <v>1</v>
      </c>
      <c r="AG81" s="5">
        <f>COUNTIFS(   N4:N1440,"2022", D4:D1440,"Modelos markovianos y fiabilidad de sistemas")</f>
        <v>0</v>
      </c>
      <c r="AH81" s="5">
        <f>COUNTIFS(   D4:D1440,"Modelos markovianos y fiabilidad de sistemas",G4:G1440,"Sí")</f>
        <v>0</v>
      </c>
      <c r="AI81" s="5">
        <f>COUNTIFS(   D4:D1440,"Modelos markovianos y fiabilidad de sistemas",G4:G1440,"No")</f>
        <v>1</v>
      </c>
      <c r="AJ81" s="5">
        <f>SUMIFS( E4:E1440, D4:D1440,"Modelos markovianos y fiabilidad de sistemas",G4:G1440,"Sí")</f>
        <v>0</v>
      </c>
      <c r="AK81" s="5">
        <f>SUMIFS( E4:E1440, D4:D1440,"Modelos markovianos y fiabilidad de sistemas",G4:G1440,"No")</f>
        <v>1</v>
      </c>
      <c r="AL81" s="5">
        <f>COUNTIFS(   D4:D1440,"Modelos markovianos y fiabilidad de sistemas",H4:H1440,"Sí")</f>
        <v>1</v>
      </c>
      <c r="AM81" s="5">
        <f>COUNTIFS(   D4:D1440,"Modelos markovianos y fiabilidad de sistemas",I4:I1440,"Sí")</f>
        <v>1</v>
      </c>
      <c r="AN81" s="5">
        <f>COUNTIFS(   D4:D1440,"Modelos markovianos y fiabilidad de sistemas",I4:I1440,"No")</f>
        <v>0</v>
      </c>
      <c r="AO81" s="5">
        <f>SUMIFS( E4:E1440, D4:D1440,"Modelos markovianos y fiabilidad de sistemas",I4:I1440,"Sí")</f>
        <v>1</v>
      </c>
      <c r="AP81" s="5">
        <f>SUMIFS( E4:E1440, D4:D1440,"Modelos markovianos y fiabilidad de sistemas",I4:I1440,"No")</f>
        <v>0</v>
      </c>
      <c r="AQ81" s="5">
        <f>COUNTIFS(   D4:D1440,"Modelos markovianos y fiabilidad de sistemas",J4:J1440,"Sí")</f>
        <v>1</v>
      </c>
      <c r="AR81" s="5">
        <f>COUNTIFS(   D4:D1440,"Modelos markovianos y fiabilidad de sistemas",K4:K1440,"Sí")</f>
        <v>0</v>
      </c>
      <c r="AS81" s="5">
        <f>COUNTIFS(   D4:D1440,"Modelos markovianos y fiabilidad de sistemas",L4:L1440,"Sí")</f>
        <v>0</v>
      </c>
      <c r="AT81" s="5">
        <f>SUMIFS( E4:E1440, D4:D1440,"Modelos markovianos y fiabilidad de sistemas")</f>
        <v>1</v>
      </c>
      <c r="AU81" s="5">
        <f>SUMIFS( E4:E1440, F4:F1440,"Hombre", D4:D1440,"Modelos markovianos y fiabilidad de sistemas")</f>
        <v>0</v>
      </c>
      <c r="AV81" s="5">
        <f>SUMIFS( E4:E1440, F4:F1440,"Mujer", D4:D1440,"Modelos markovianos y fiabilidad de sistemas")</f>
        <v>1</v>
      </c>
      <c r="AW81" s="19">
        <f>SUMIFS( E4:E1440, A4:A1440,"2018", D4:D1440,"Modelos markovianos y fiabilidad de sistemas")</f>
        <v>0</v>
      </c>
      <c r="AX81" s="5">
        <f>SUMIFS( E4:E1440, A4:A1440,"2019", D4:D1440,"Modelos markovianos y fiabilidad de sistemas")</f>
        <v>0</v>
      </c>
      <c r="AY81" s="5">
        <f>SUMIFS( E4:E1440, A4:A1440,"2020", D4:D1440,"Modelos markovianos y fiabilidad de sistemas")</f>
        <v>1</v>
      </c>
      <c r="AZ81" s="5">
        <f>SUMIFS( E4:E1440, A4:A1440,"2021", D4:D1440,"Modelos markovianos y fiabilidad de sistemas")</f>
        <v>0</v>
      </c>
      <c r="BA81" s="5">
        <f>SUMIFS( E4:E1440, A4:A1440,"2022", D4:D1440,"Modelos markovianos y fiabilidad de sistemas")</f>
        <v>0</v>
      </c>
      <c r="BB81" s="19">
        <f>SUMIFS( E4:E1440, N4:N1440,"2018", D4:D1440,"Modelos markovianos y fiabilidad de sistemas")</f>
        <v>0</v>
      </c>
      <c r="BC81" s="5">
        <f>SUMIFS( E4:E1440, N4:N1440,"2019", D4:D1440,"Modelos markovianos y fiabilidad de sistemas")</f>
        <v>0</v>
      </c>
      <c r="BD81" s="5">
        <f>SUMIFS( E4:E1440, N4:N1440,"2020", D4:D1440,"Modelos markovianos y fiabilidad de sistemas")</f>
        <v>0</v>
      </c>
      <c r="BE81" s="5">
        <f>SUMIFS( E4:E1440, N4:N1440,"2021", D4:D1440,"Modelos markovianos y fiabilidad de sistemas")</f>
        <v>1</v>
      </c>
      <c r="BF81" s="5">
        <f>SUMIFS( E4:E1440, N4:N1440,"2022", D4:D1440,"Modelos markovianos y fiabilidad de sistemas")</f>
        <v>0</v>
      </c>
      <c r="BG81" s="14">
        <f>AVERAGEIFS( E4:E1440, D4:D1440,"Modelos markovianos y fiabilidad de sistemas")</f>
        <v>1</v>
      </c>
      <c r="BH81" s="14"/>
      <c r="BI81" s="14"/>
      <c r="BJ81" s="14"/>
      <c r="BK81" s="14"/>
      <c r="BL81" s="37"/>
      <c r="BM81" s="14"/>
      <c r="BN81" s="14"/>
      <c r="BO81" s="14"/>
      <c r="BP81" s="14"/>
      <c r="BQ81" s="14"/>
      <c r="BR81" s="14"/>
    </row>
    <row r="82" spans="1:70" ht="15" customHeight="1">
      <c r="A82" s="24">
        <v>2018</v>
      </c>
      <c r="B82" s="24" t="s">
        <v>78</v>
      </c>
      <c r="C82" s="24" t="s">
        <v>119</v>
      </c>
      <c r="D82" s="24" t="s">
        <v>121</v>
      </c>
      <c r="E82" s="23">
        <v>9</v>
      </c>
      <c r="F82" s="24" t="s">
        <v>207</v>
      </c>
      <c r="G82" s="24" t="s">
        <v>225</v>
      </c>
      <c r="H82" s="23" t="s">
        <v>226</v>
      </c>
      <c r="I82" s="24" t="s">
        <v>226</v>
      </c>
      <c r="J82" s="23" t="s">
        <v>226</v>
      </c>
      <c r="K82" s="24" t="s">
        <v>226</v>
      </c>
      <c r="L82" s="23"/>
      <c r="M82" s="26" t="s">
        <v>280</v>
      </c>
      <c r="N82" s="24">
        <v>2018</v>
      </c>
      <c r="O82" s="29" t="s">
        <v>575</v>
      </c>
      <c r="P82" s="30"/>
      <c r="Q82" s="30"/>
      <c r="R82" s="30"/>
      <c r="S82" s="30"/>
      <c r="T82" s="31"/>
      <c r="U82" s="5">
        <f>COUNTIFS(   D4:D1440,"Muestreo de poblaciones finitas")</f>
        <v>2</v>
      </c>
      <c r="V82" s="5">
        <f>COUNTIFS(   D4:D1440,"Muestreo de poblaciones finitas",F4:F1440,"Hombre")</f>
        <v>2</v>
      </c>
      <c r="W82" s="5">
        <f>COUNTIFS(   D4:D1440,"Muestreo de poblaciones finitas",F4:F1440,"Mujer")</f>
        <v>0</v>
      </c>
      <c r="X82" s="19">
        <f>COUNTIFS(   A4:A1440,"2018", D4:D1440,"Muestreo de poblaciones finitas")</f>
        <v>0</v>
      </c>
      <c r="Y82" s="5">
        <f>COUNTIFS(   A4:A1440,"2019", D4:D1440,"Muestreo de poblaciones finitas")</f>
        <v>0</v>
      </c>
      <c r="Z82" s="5">
        <f>COUNTIFS(   A4:A1440,"2020", D4:D1440,"Muestreo de poblaciones finitas")</f>
        <v>1</v>
      </c>
      <c r="AA82" s="5">
        <f>COUNTIFS(   A4:A1440,"2021", D4:D1440,"Muestreo de poblaciones finitas")</f>
        <v>1</v>
      </c>
      <c r="AB82" s="5">
        <f>COUNTIFS(  A4:A1440,"2022", D4:D1440,"Muestreo de poblaciones finitas")</f>
        <v>0</v>
      </c>
      <c r="AC82" s="19">
        <f>COUNTIFS(   N4:N1440,"2018", D4:D1440,"Muestreo de poblaciones finitas")</f>
        <v>0</v>
      </c>
      <c r="AD82" s="5">
        <f>COUNTIFS(   N4:N1440,"2019", D4:D1440,"Muestreo de poblaciones finitas")</f>
        <v>0</v>
      </c>
      <c r="AE82" s="5">
        <f>COUNTIFS(   N4:N1440,"2020", D4:D1440,"Muestreo de poblaciones finitas")</f>
        <v>0</v>
      </c>
      <c r="AF82" s="5">
        <f>COUNTIFS(   N4:N1440,"2021", D4:D1440,"Muestreo de poblaciones finitas")</f>
        <v>2</v>
      </c>
      <c r="AG82" s="5">
        <f>COUNTIFS(   N4:N1440,"2022", D4:D1440,"Muestreo de poblaciones finitas")</f>
        <v>0</v>
      </c>
      <c r="AH82" s="5">
        <f>COUNTIFS(   D4:D1440,"Muestreo de poblaciones finitas",G4:G1440,"Sí")</f>
        <v>0</v>
      </c>
      <c r="AI82" s="5">
        <f>COUNTIFS(   D4:D1440,"Muestreo de poblaciones finitas",G4:G1440,"No")</f>
        <v>2</v>
      </c>
      <c r="AJ82" s="5">
        <f>SUMIFS( E4:E1440, D4:D1440,"Muestreo de poblaciones finitas",G4:G1440,"Sí")</f>
        <v>0</v>
      </c>
      <c r="AK82" s="5">
        <f>SUMIFS( E4:E1440, D4:D1440,"Muestreo de poblaciones finitas",G4:G1440,"No")</f>
        <v>20</v>
      </c>
      <c r="AL82" s="5">
        <f>COUNTIFS(   D4:D1440,"Muestreo de poblaciones finitas",H4:H1440,"Sí")</f>
        <v>2</v>
      </c>
      <c r="AM82" s="5">
        <f>COUNTIFS(   D4:D1440,"Muestreo de poblaciones finitas",I4:I1440,"Sí")</f>
        <v>1</v>
      </c>
      <c r="AN82" s="5">
        <f>COUNTIFS(   D4:D1440,"Muestreo de poblaciones finitas",I4:I1440,"No")</f>
        <v>1</v>
      </c>
      <c r="AO82" s="5">
        <f>SUMIFS( E4:E1440, D4:D1440,"Muestreo de poblaciones finitas",I4:I1440,"Sí")</f>
        <v>18</v>
      </c>
      <c r="AP82" s="5">
        <f>SUMIFS( E4:E1440, D4:D1440,"Muestreo de poblaciones finitas",I4:I1440,"No")</f>
        <v>2</v>
      </c>
      <c r="AQ82" s="5">
        <f>COUNTIFS(   D4:D1440,"Muestreo de poblaciones finitas",J4:J1440,"Sí")</f>
        <v>2</v>
      </c>
      <c r="AR82" s="5">
        <f>COUNTIFS(   D4:D1440,"Muestreo de poblaciones finitas",K4:K1440,"Sí")</f>
        <v>0</v>
      </c>
      <c r="AS82" s="5">
        <f>COUNTIFS(   D4:D1440,"Muestreo de poblaciones finitas",L4:L1440,"Sí")</f>
        <v>0</v>
      </c>
      <c r="AT82" s="5">
        <f>SUMIFS( E4:E1440, D4:D1440,"Muestreo de poblaciones finitas")</f>
        <v>20</v>
      </c>
      <c r="AU82" s="5">
        <f>SUMIFS( E4:E1440, F4:F1440,"Hombre", D4:D1440,"Muestreo de poblaciones finitas")</f>
        <v>20</v>
      </c>
      <c r="AV82" s="5">
        <f>SUMIFS( E4:E1440, F4:F1440,"Mujer", D4:D1440,"Muestreo de poblaciones finitas")</f>
        <v>0</v>
      </c>
      <c r="AW82" s="19">
        <f>SUMIFS( E4:E1440, A4:A1440,"2018", D4:D1440,"Muestreo de poblaciones finitas")</f>
        <v>0</v>
      </c>
      <c r="AX82" s="5">
        <f>SUMIFS( E4:E1440, A4:A1440,"2019", D4:D1440,"Muestreo de poblaciones finitas")</f>
        <v>0</v>
      </c>
      <c r="AY82" s="5">
        <f>SUMIFS( E4:E1440, A4:A1440,"2020", D4:D1440,"Muestreo de poblaciones finitas")</f>
        <v>18</v>
      </c>
      <c r="AZ82" s="5">
        <f>SUMIFS( E4:E1440, A4:A1440,"2021", D4:D1440,"Muestreo de poblaciones finitas")</f>
        <v>2</v>
      </c>
      <c r="BA82" s="5">
        <f>SUMIFS( E4:E1440, A4:A1440,"2022", D4:D1440,"Muestreo de poblaciones finitas")</f>
        <v>0</v>
      </c>
      <c r="BB82" s="19">
        <f>SUMIFS( E4:E1440, N4:N1440,"2018", D4:D1440,"Muestreo de poblaciones finitas")</f>
        <v>0</v>
      </c>
      <c r="BC82" s="5">
        <f>SUMIFS( E4:E1440, N4:N1440,"2019", D4:D1440,"Muestreo de poblaciones finitas")</f>
        <v>0</v>
      </c>
      <c r="BD82" s="5">
        <f>SUMIFS( E4:E1440, N4:N1440,"2020", D4:D1440,"Muestreo de poblaciones finitas")</f>
        <v>0</v>
      </c>
      <c r="BE82" s="5">
        <f>SUMIFS( E4:E1440, N4:N1440,"2021", D4:D1440,"Muestreo de poblaciones finitas")</f>
        <v>20</v>
      </c>
      <c r="BF82" s="5">
        <f>SUMIFS( E4:E1440, N4:N1440,"2022", D4:D1440,"Muestreo de poblaciones finitas")</f>
        <v>0</v>
      </c>
      <c r="BG82" s="14">
        <f>AVERAGEIFS( E4:E1440, D4:D1440,"Muestreo de poblaciones finitas")</f>
        <v>10</v>
      </c>
      <c r="BH82" s="14"/>
      <c r="BI82" s="14"/>
      <c r="BJ82" s="14"/>
      <c r="BK82" s="14"/>
      <c r="BL82" s="37"/>
      <c r="BM82" s="14"/>
      <c r="BN82" s="14"/>
      <c r="BO82" s="14"/>
      <c r="BP82" s="14"/>
      <c r="BQ82" s="14"/>
      <c r="BR82" s="14"/>
    </row>
    <row r="83" spans="1:70" ht="15" customHeight="1">
      <c r="A83" s="24">
        <v>2018</v>
      </c>
      <c r="B83" s="24" t="s">
        <v>4</v>
      </c>
      <c r="C83" s="24" t="s">
        <v>23</v>
      </c>
      <c r="D83" s="24" t="s">
        <v>26</v>
      </c>
      <c r="E83" s="23">
        <v>25</v>
      </c>
      <c r="F83" s="24" t="s">
        <v>207</v>
      </c>
      <c r="G83" s="23" t="s">
        <v>226</v>
      </c>
      <c r="H83" s="23" t="s">
        <v>226</v>
      </c>
      <c r="I83" s="24" t="s">
        <v>226</v>
      </c>
      <c r="J83" s="23" t="s">
        <v>226</v>
      </c>
      <c r="K83" s="24" t="s">
        <v>226</v>
      </c>
      <c r="L83" s="23"/>
      <c r="M83" s="26" t="s">
        <v>281</v>
      </c>
      <c r="N83" s="24">
        <v>2018</v>
      </c>
      <c r="O83" s="29" t="s">
        <v>562</v>
      </c>
      <c r="P83" s="30"/>
      <c r="Q83" s="30"/>
      <c r="R83" s="30"/>
      <c r="S83" s="30"/>
      <c r="T83" s="31"/>
      <c r="U83" s="5">
        <f>COUNTIFS(   D4:D1440,"Teoremas límites funcionales para campos aleatorios y procesos Hilbert-valuados")</f>
        <v>2</v>
      </c>
      <c r="V83" s="5">
        <f>COUNTIFS(   D4:D1440,"Teoremas límites funcionales para campos aleatorios y procesos Hilbert-valuados",F4:F1440,"Hombre")</f>
        <v>1</v>
      </c>
      <c r="W83" s="5">
        <f>COUNTIFS(   D4:D1440,"Teoremas límites funcionales para campos aleatorios y procesos Hilbert-valuados",F4:F1440,"Mujer")</f>
        <v>1</v>
      </c>
      <c r="X83" s="19">
        <f>COUNTIFS(   A4:A1440,"2018", D4:D1440,"Teoremas límites funcionales para campos aleatorios y procesos Hilbert-valuados")</f>
        <v>0</v>
      </c>
      <c r="Y83" s="5">
        <f>COUNTIFS(   A4:A1440,"2019", D4:D1440,"Teoremas límites funcionales para campos aleatorios y procesos Hilbert-valuados")</f>
        <v>0</v>
      </c>
      <c r="Z83" s="5">
        <f>COUNTIFS(   A4:A1440,"2020", D4:D1440,"Teoremas límites funcionales para campos aleatorios y procesos Hilbert-valuados")</f>
        <v>1</v>
      </c>
      <c r="AA83" s="5">
        <f>COUNTIFS(   A4:A1440,"2021", D4:D1440,"Teoremas límites funcionales para campos aleatorios y procesos Hilbert-valuados")</f>
        <v>1</v>
      </c>
      <c r="AB83" s="5">
        <f>COUNTIFS(  A4:A1440,"2022", D4:D1440,"Teoremas límites funcionales para campos aleatorios y procesos Hilbert-valuados")</f>
        <v>0</v>
      </c>
      <c r="AC83" s="19">
        <f>COUNTIFS(   N4:N1440,"2018", D4:D1440,"Teoremas límites funcionales para campos aleatorios y procesos Hilbert-valuados")</f>
        <v>0</v>
      </c>
      <c r="AD83" s="5">
        <f>COUNTIFS(   N4:N1440,"2019", D4:D1440,"Teoremas límites funcionales para campos aleatorios y procesos Hilbert-valuados")</f>
        <v>0</v>
      </c>
      <c r="AE83" s="5">
        <f>COUNTIFS(   N4:N1440,"2020", D4:D1440,"Teoremas límites funcionales para campos aleatorios y procesos Hilbert-valuados")</f>
        <v>0</v>
      </c>
      <c r="AF83" s="5">
        <f>COUNTIFS(   N4:N1440,"2021", D4:D1440,"Teoremas límites funcionales para campos aleatorios y procesos Hilbert-valuados")</f>
        <v>1</v>
      </c>
      <c r="AG83" s="5">
        <f>COUNTIFS(   N4:N1440,"2022", D4:D1440,"Teoremas límites funcionales para campos aleatorios y procesos Hilbert-valuados")</f>
        <v>1</v>
      </c>
      <c r="AH83" s="5">
        <f>COUNTIFS(   D4:D1440,"Teoremas límites funcionales para campos aleatorios y procesos Hilbert-valuados",G4:G1440,"Sí")</f>
        <v>0</v>
      </c>
      <c r="AI83" s="5">
        <f>COUNTIFS(   D4:D1440,"Teoremas límites funcionales para campos aleatorios y procesos Hilbert-valuados",G4:G1440,"No")</f>
        <v>2</v>
      </c>
      <c r="AJ83" s="5">
        <f>SUMIFS( E4:E1440, D4:D1440,"Teoremas límites funcionales para campos aleatorios y procesos Hilbert-valuados",G4:G1440,"Sí")</f>
        <v>0</v>
      </c>
      <c r="AK83" s="5">
        <f>SUMIFS( E4:E1440, D4:D1440,"Teoremas límites funcionales para campos aleatorios y procesos Hilbert-valuados",G4:G1440,"No")</f>
        <v>4</v>
      </c>
      <c r="AL83" s="5">
        <f>COUNTIFS(   D4:D1440,"Teoremas límites funcionales para campos aleatorios y procesos Hilbert-valuados",H4:H1440,"Sí")</f>
        <v>1</v>
      </c>
      <c r="AM83" s="5">
        <f>COUNTIFS(   D4:D1440,"Teoremas límites funcionales para campos aleatorios y procesos Hilbert-valuados",I4:I1440,"Sí")</f>
        <v>1</v>
      </c>
      <c r="AN83" s="5">
        <f>COUNTIFS(   D4:D1440,"Teoremas límites funcionales para campos aleatorios y procesos Hilbert-valuados",I4:I1440,"No")</f>
        <v>1</v>
      </c>
      <c r="AO83" s="5">
        <f>SUMIFS( E4:E1440, D4:D1440,"Teoremas límites funcionales para campos aleatorios y procesos Hilbert-valuados",I4:I1440,"Sí")</f>
        <v>4</v>
      </c>
      <c r="AP83" s="5">
        <f>SUMIFS( E4:E1440, D4:D1440,"Teoremas límites funcionales para campos aleatorios y procesos Hilbert-valuados",I4:I1440,"No")</f>
        <v>0</v>
      </c>
      <c r="AQ83" s="5">
        <f>COUNTIFS(   D4:D1440,"Teoremas límites funcionales para campos aleatorios y procesos Hilbert-valuados",J4:J1440,"Sí")</f>
        <v>2</v>
      </c>
      <c r="AR83" s="5">
        <f>COUNTIFS(   D4:D1440,"Teoremas límites funcionales para campos aleatorios y procesos Hilbert-valuados",K4:K1440,"Sí")</f>
        <v>0</v>
      </c>
      <c r="AS83" s="5">
        <f>COUNTIFS(   D4:D1440,"Teoremas límites funcionales para campos aleatorios y procesos Hilbert-valuados",L4:L1440,"Sí")</f>
        <v>0</v>
      </c>
      <c r="AT83" s="5">
        <f>SUMIFS( E4:E1440, D4:D1440,"Teoremas límites funcionales para campos aleatorios y procesos Hilbert-valuados")</f>
        <v>4</v>
      </c>
      <c r="AU83" s="5">
        <f>SUMIFS( E4:E1440, F4:F1440,"Hombre", D4:D1440,"Teoremas límites funcionales para campos aleatorios y procesos Hilbert-valuados")</f>
        <v>4</v>
      </c>
      <c r="AV83" s="5">
        <f>SUMIFS( E4:E1440, F4:F1440,"Mujer", D4:D1440,"Teoremas límites funcionales para campos aleatorios y procesos Hilbert-valuados")</f>
        <v>0</v>
      </c>
      <c r="AW83" s="19">
        <f>SUMIFS( E4:E1440, A4:A1440,"2018", D4:D1440,"Teoremas límites funcionales para campos aleatorios y procesos Hilbert-valuados")</f>
        <v>0</v>
      </c>
      <c r="AX83" s="5">
        <f>SUMIFS( E4:E1440, A4:A1440,"2019", D4:D1440,"Teoremas límites funcionales para campos aleatorios y procesos Hilbert-valuados")</f>
        <v>0</v>
      </c>
      <c r="AY83" s="5">
        <f>SUMIFS( E4:E1440, A4:A1440,"2020", D4:D1440,"Teoremas límites funcionales para campos aleatorios y procesos Hilbert-valuados")</f>
        <v>4</v>
      </c>
      <c r="AZ83" s="5">
        <f>SUMIFS( E4:E1440, A4:A1440,"2021", D4:D1440,"Teoremas límites funcionales para campos aleatorios y procesos Hilbert-valuados")</f>
        <v>0</v>
      </c>
      <c r="BA83" s="5">
        <f>SUMIFS( E4:E1440, A4:A1440,"2022", D4:D1440,"Teoremas límites funcionales para campos aleatorios y procesos Hilbert-valuados")</f>
        <v>0</v>
      </c>
      <c r="BB83" s="19">
        <f>SUMIFS( E4:E1440, N4:N1440,"2018", D4:D1440,"Teoremas límites funcionales para campos aleatorios y procesos Hilbert-valuados")</f>
        <v>0</v>
      </c>
      <c r="BC83" s="5">
        <f>SUMIFS( E4:E1440, N4:N1440,"2019", D4:D1440,"Teoremas límites funcionales para campos aleatorios y procesos Hilbert-valuados")</f>
        <v>0</v>
      </c>
      <c r="BD83" s="5">
        <f>SUMIFS( E4:E1440, N4:N1440,"2020", D4:D1440,"Teoremas límites funcionales para campos aleatorios y procesos Hilbert-valuados")</f>
        <v>0</v>
      </c>
      <c r="BE83" s="5">
        <f>SUMIFS( E4:E1440, N4:N1440,"2021", D4:D1440,"Teoremas límites funcionales para campos aleatorios y procesos Hilbert-valuados")</f>
        <v>4</v>
      </c>
      <c r="BF83" s="5">
        <f>SUMIFS( E4:E1440, N4:N1440,"2022", D4:D1440,"Teoremas límites funcionales para campos aleatorios y procesos Hilbert-valuados")</f>
        <v>0</v>
      </c>
      <c r="BG83" s="14">
        <f>AVERAGEIFS( E4:E1440, D4:D1440,"Teoremas límites funcionales para campos aleatorios y procesos Hilbert-valuados")</f>
        <v>4</v>
      </c>
      <c r="BH83" s="14"/>
      <c r="BI83" s="14"/>
      <c r="BJ83" s="14"/>
      <c r="BK83" s="14"/>
      <c r="BL83" s="37"/>
      <c r="BM83" s="14"/>
      <c r="BN83" s="14"/>
      <c r="BO83" s="14"/>
      <c r="BP83" s="14"/>
      <c r="BQ83" s="14"/>
      <c r="BR83" s="14"/>
    </row>
    <row r="84" spans="1:70" ht="15" customHeight="1">
      <c r="A84" s="24">
        <v>2018</v>
      </c>
      <c r="B84" s="24" t="s">
        <v>78</v>
      </c>
      <c r="C84" s="24" t="s">
        <v>80</v>
      </c>
      <c r="D84" s="24" t="s">
        <v>282</v>
      </c>
      <c r="E84" s="23">
        <v>1</v>
      </c>
      <c r="F84" s="24" t="s">
        <v>207</v>
      </c>
      <c r="G84" s="24" t="s">
        <v>225</v>
      </c>
      <c r="H84" s="23" t="s">
        <v>226</v>
      </c>
      <c r="I84" s="24" t="s">
        <v>225</v>
      </c>
      <c r="J84" s="23" t="s">
        <v>226</v>
      </c>
      <c r="K84" s="24" t="s">
        <v>226</v>
      </c>
      <c r="L84" s="23"/>
      <c r="M84" s="26" t="s">
        <v>281</v>
      </c>
      <c r="N84" s="24">
        <v>2018</v>
      </c>
      <c r="O84" s="29" t="s">
        <v>479</v>
      </c>
      <c r="P84" s="30"/>
      <c r="Q84" s="30"/>
      <c r="R84" s="30"/>
      <c r="S84" s="30"/>
      <c r="T84" s="31"/>
      <c r="U84" s="5">
        <f>COUNTIFS(   D4:D1440,"Complejidad estructural y valores extremos en procesos espacio-temporales")</f>
        <v>1</v>
      </c>
      <c r="V84" s="5">
        <f>COUNTIFS(   D4:D1440,"Complejidad estructural y valores extremos en procesos espacio-temporales",F4:F1440,"Hombre")</f>
        <v>1</v>
      </c>
      <c r="W84" s="5">
        <f>COUNTIFS(   D4:D1440,"Complejidad estructural y valores extremos en procesos espacio-temporales",F4:F1440,"Mujer")</f>
        <v>0</v>
      </c>
      <c r="X84" s="19">
        <f>COUNTIFS(   A4:A1440,"2018", D4:D1440,"Complejidad estructural y valores extremos en procesos espacio-temporales")</f>
        <v>0</v>
      </c>
      <c r="Y84" s="5">
        <f>COUNTIFS(   A4:A1440,"2019", D4:D1440,"Complejidad estructural y valores extremos en procesos espacio-temporales")</f>
        <v>1</v>
      </c>
      <c r="Z84" s="5">
        <f>COUNTIFS(   A4:A1440,"2020", D4:D1440,"Complejidad estructural y valores extremos en procesos espacio-temporales")</f>
        <v>0</v>
      </c>
      <c r="AA84" s="5">
        <f>COUNTIFS(   A4:A1440,"2021", D4:D1440,"Complejidad estructural y valores extremos en procesos espacio-temporales")</f>
        <v>0</v>
      </c>
      <c r="AB84" s="5">
        <f>COUNTIFS(  A4:A1440,"2022", D4:D1440,"Complejidad estructural y valores extremos en procesos espacio-temporales")</f>
        <v>0</v>
      </c>
      <c r="AC84" s="19">
        <f>COUNTIFS(   N4:N1440,"2018", D4:D1440,"Complejidad estructural y valores extremos en procesos espacio-temporales")</f>
        <v>0</v>
      </c>
      <c r="AD84" s="5">
        <f>COUNTIFS(   N4:N1440,"2019", D4:D1440,"Complejidad estructural y valores extremos en procesos espacio-temporales")</f>
        <v>0</v>
      </c>
      <c r="AE84" s="5">
        <f>COUNTIFS(   N4:N1440,"2020", D4:D1440,"Complejidad estructural y valores extremos en procesos espacio-temporales")</f>
        <v>1</v>
      </c>
      <c r="AF84" s="5">
        <f>COUNTIFS(   N4:N1440,"2021", D4:D1440,"Complejidad estructural y valores extremos en procesos espacio-temporales")</f>
        <v>0</v>
      </c>
      <c r="AG84" s="5">
        <f>COUNTIFS(   N4:N1440,"2022", D4:D1440,"Complejidad estructural y valores extremos en procesos espacio-temporales")</f>
        <v>0</v>
      </c>
      <c r="AH84" s="5">
        <f>COUNTIFS(   D4:D1440,"Complejidad estructural y valores extremos en procesos espacio-temporales",G4:G1440,"Sí")</f>
        <v>0</v>
      </c>
      <c r="AI84" s="5">
        <f>COUNTIFS(   D4:D1440,"Complejidad estructural y valores extremos en procesos espacio-temporales",G4:G1440,"No")</f>
        <v>1</v>
      </c>
      <c r="AJ84" s="5">
        <f>SUMIFS( E4:E1440, D4:D1440,"Complejidad estructural y valores extremos en procesos espacio-temporales",G4:G1440,"Sí")</f>
        <v>0</v>
      </c>
      <c r="AK84" s="5">
        <f>SUMIFS( E4:E1440, D4:D1440,"Complejidad estructural y valores extremos en procesos espacio-temporales",G4:G1440,"No")</f>
        <v>5</v>
      </c>
      <c r="AL84" s="5">
        <f>COUNTIFS(   D4:D1440,"Complejidad estructural y valores extremos en procesos espacio-temporales",H4:H1440,"Sí")</f>
        <v>1</v>
      </c>
      <c r="AM84" s="5">
        <f>COUNTIFS(   D4:D1440,"Complejidad estructural y valores extremos en procesos espacio-temporales",I4:I1440,"Sí")</f>
        <v>1</v>
      </c>
      <c r="AN84" s="5">
        <f>COUNTIFS(   D4:D1440,"Complejidad estructural y valores extremos en procesos espacio-temporales",I4:I1440,"No")</f>
        <v>0</v>
      </c>
      <c r="AO84" s="5">
        <f>SUMIFS( E4:E1440, D4:D1440,"Complejidad estructural y valores extremos en procesos espacio-temporales",I4:I1440,"Sí")</f>
        <v>5</v>
      </c>
      <c r="AP84" s="5">
        <f>SUMIFS( E4:E1440, D4:D1440,"Complejidad estructural y valores extremos en procesos espacio-temporales",I4:I1440,"No")</f>
        <v>0</v>
      </c>
      <c r="AQ84" s="5">
        <f>COUNTIFS(   D4:D1440,"Complejidad estructural y valores extremos en procesos espacio-temporales",J4:J1440,"Sí")</f>
        <v>1</v>
      </c>
      <c r="AR84" s="5">
        <f>COUNTIFS(   D4:D1440,"Complejidad estructural y valores extremos en procesos espacio-temporales",K4:K1440,"Sí")</f>
        <v>0</v>
      </c>
      <c r="AS84" s="5">
        <f>COUNTIFS(   D4:D1440,"Complejidad estructural y valores extremos en procesos espacio-temporales",L4:L1440,"Sí")</f>
        <v>0</v>
      </c>
      <c r="AT84" s="5">
        <f>SUMIFS( E4:E1440, D4:D1440,"Complejidad estructural y valores extremos en procesos espacio-temporales")</f>
        <v>5</v>
      </c>
      <c r="AU84" s="5">
        <f>SUMIFS( E4:E1440, F4:F1440,"Hombre", D4:D1440,"Complejidad estructural y valores extremos en procesos espacio-temporales")</f>
        <v>5</v>
      </c>
      <c r="AV84" s="5">
        <f>SUMIFS( E4:E1440, F4:F1440,"Mujer", D4:D1440,"Complejidad estructural y valores extremos en procesos espacio-temporales")</f>
        <v>0</v>
      </c>
      <c r="AW84" s="19">
        <f>SUMIFS( E4:E1440, A4:A1440,"2018", D4:D1440,"Complejidad estructural y valores extremos en procesos espacio-temporales")</f>
        <v>0</v>
      </c>
      <c r="AX84" s="5">
        <f>SUMIFS( E4:E1440, A4:A1440,"2019", D4:D1440,"Complejidad estructural y valores extremos en procesos espacio-temporales")</f>
        <v>5</v>
      </c>
      <c r="AY84" s="5">
        <f>SUMIFS( E4:E1440, A4:A1440,"2020", D4:D1440,"Complejidad estructural y valores extremos en procesos espacio-temporales")</f>
        <v>0</v>
      </c>
      <c r="AZ84" s="5">
        <f>SUMIFS( E4:E1440, A4:A1440,"2021", D4:D1440,"Complejidad estructural y valores extremos en procesos espacio-temporales")</f>
        <v>0</v>
      </c>
      <c r="BA84" s="5">
        <f>SUMIFS( E4:E1440, A4:A1440,"2022", D4:D1440,"Complejidad estructural y valores extremos en procesos espacio-temporales")</f>
        <v>0</v>
      </c>
      <c r="BB84" s="19">
        <f>SUMIFS( E4:E1440, N4:N1440,"2018", D4:D1440,"Complejidad estructural y valores extremos en procesos espacio-temporales")</f>
        <v>0</v>
      </c>
      <c r="BC84" s="5">
        <f>SUMIFS( E4:E1440, N4:N1440,"2019", D4:D1440,"Complejidad estructural y valores extremos en procesos espacio-temporales")</f>
        <v>0</v>
      </c>
      <c r="BD84" s="5">
        <f>SUMIFS( E4:E1440, N4:N1440,"2020", D4:D1440,"Complejidad estructural y valores extremos en procesos espacio-temporales")</f>
        <v>5</v>
      </c>
      <c r="BE84" s="5">
        <f>SUMIFS( E4:E1440, N4:N1440,"2021", D4:D1440,"Complejidad estructural y valores extremos en procesos espacio-temporales")</f>
        <v>0</v>
      </c>
      <c r="BF84" s="5">
        <f>SUMIFS( E4:E1440, N4:N1440,"2022", D4:D1440,"Complejidad estructural y valores extremos en procesos espacio-temporales")</f>
        <v>0</v>
      </c>
      <c r="BG84" s="14">
        <f>AVERAGEIFS( E4:E1440, D4:D1440,"Complejidad estructural y valores extremos en procesos espacio-temporales")</f>
        <v>5</v>
      </c>
      <c r="BH84" s="14"/>
      <c r="BI84" s="14"/>
      <c r="BJ84" s="14"/>
      <c r="BK84" s="14"/>
      <c r="BL84" s="37"/>
      <c r="BM84" s="14"/>
      <c r="BN84" s="14"/>
      <c r="BO84" s="14"/>
      <c r="BP84" s="14"/>
      <c r="BQ84" s="14"/>
      <c r="BR84" s="14"/>
    </row>
    <row r="85" spans="1:70" ht="15" customHeight="1">
      <c r="A85" s="24">
        <v>2018</v>
      </c>
      <c r="B85" s="24" t="s">
        <v>136</v>
      </c>
      <c r="C85" s="24" t="s">
        <v>137</v>
      </c>
      <c r="D85" s="24" t="s">
        <v>141</v>
      </c>
      <c r="E85" s="23">
        <v>4</v>
      </c>
      <c r="F85" s="24" t="s">
        <v>211</v>
      </c>
      <c r="G85" s="24" t="s">
        <v>225</v>
      </c>
      <c r="H85" s="23" t="s">
        <v>226</v>
      </c>
      <c r="I85" s="24" t="s">
        <v>225</v>
      </c>
      <c r="J85" s="23" t="s">
        <v>226</v>
      </c>
      <c r="K85" s="24" t="s">
        <v>226</v>
      </c>
      <c r="L85" s="23"/>
      <c r="M85" s="26" t="s">
        <v>281</v>
      </c>
      <c r="N85" s="24">
        <v>2018</v>
      </c>
      <c r="O85" s="67" t="s">
        <v>94</v>
      </c>
      <c r="P85" s="68"/>
      <c r="Q85" s="68"/>
      <c r="R85" s="68"/>
      <c r="S85" s="68"/>
      <c r="T85" s="69"/>
      <c r="U85" s="5">
        <f>COUNTIFS(   D4:D1440,"Bioestadística")</f>
        <v>1</v>
      </c>
      <c r="V85" s="5">
        <f>COUNTIFS(   D4:D1440,"Bioestadística",F4:F1440,"Hombre")</f>
        <v>1</v>
      </c>
      <c r="W85" s="5">
        <f>COUNTIFS(   D4:D1440,"Bioestadística",F4:F1440,"Mujer")</f>
        <v>0</v>
      </c>
      <c r="X85" s="19">
        <f>COUNTIFS(   A4:A1440,"2018", D4:D1440,"Bioestadística")</f>
        <v>0</v>
      </c>
      <c r="Y85" s="5">
        <f>COUNTIFS(   A4:A1440,"2019", D4:D1440,"Bioestadística")</f>
        <v>0</v>
      </c>
      <c r="Z85" s="5">
        <f>COUNTIFS(   A4:A1440,"2020", D4:D1440,"Bioestadística")</f>
        <v>1</v>
      </c>
      <c r="AA85" s="5">
        <f>COUNTIFS(   A4:A1440,"2021", D4:D1440,"Bioestadística")</f>
        <v>0</v>
      </c>
      <c r="AB85" s="5">
        <f>COUNTIFS(  A4:A1440,"2022", D4:D1440,"Bioestadística")</f>
        <v>0</v>
      </c>
      <c r="AC85" s="19">
        <f>COUNTIFS(   N4:N1440,"2018", D4:D1440,"Bioestadística")</f>
        <v>0</v>
      </c>
      <c r="AD85" s="5">
        <f>COUNTIFS(   N4:N1440,"2019", D4:D1440,"Bioestadística")</f>
        <v>0</v>
      </c>
      <c r="AE85" s="5">
        <f>COUNTIFS(   N4:N1440,"2020", D4:D1440,"Bioestadística")</f>
        <v>1</v>
      </c>
      <c r="AF85" s="5">
        <f>COUNTIFS(   N4:N1440,"2021", D4:D1440,"Bioestadística")</f>
        <v>0</v>
      </c>
      <c r="AG85" s="5">
        <f>COUNTIFS(   N4:N1440,"2022", D4:D1440,"Bioestadística")</f>
        <v>0</v>
      </c>
      <c r="AH85" s="5">
        <f>COUNTIFS(   D4:D1440,"Bioestadística",G4:G1440,"Sí")</f>
        <v>0</v>
      </c>
      <c r="AI85" s="5">
        <f>COUNTIFS(   D4:D1440,"Bioestadística",G4:G1440,"No")</f>
        <v>1</v>
      </c>
      <c r="AJ85" s="5">
        <f>SUMIFS( E4:E1440, D4:D1440,"Bioestadística",G4:G1440,"Sí")</f>
        <v>0</v>
      </c>
      <c r="AK85" s="5">
        <f>SUMIFS( E4:E1440, D4:D1440,"Bioestadística",G4:G1440,"No")</f>
        <v>5</v>
      </c>
      <c r="AL85" s="5">
        <f>COUNTIFS(   D4:D1440,"Bioestadística",H4:H1440,"Sí")</f>
        <v>1</v>
      </c>
      <c r="AM85" s="5">
        <f>COUNTIFS(   D4:D1440,"Bioestadística",I4:I1440,"Sí")</f>
        <v>0</v>
      </c>
      <c r="AN85" s="5">
        <f>COUNTIFS(   D4:D1440,"Bioestadística",I4:I1440,"No")</f>
        <v>1</v>
      </c>
      <c r="AO85" s="5">
        <f>SUMIFS( E4:E1440, D4:D1440,"Bioestadística",I4:I1440,"Sí")</f>
        <v>0</v>
      </c>
      <c r="AP85" s="5">
        <f>SUMIFS( E4:E1440, D4:D1440,"Bioestadística",I4:I1440,"No")</f>
        <v>5</v>
      </c>
      <c r="AQ85" s="5">
        <f>COUNTIFS(   D4:D1440,"Bioestadística",J4:J1440,"Sí")</f>
        <v>1</v>
      </c>
      <c r="AR85" s="5">
        <f>COUNTIFS(   D4:D1440,"Bioestadística",K4:K1440,"Sí")</f>
        <v>0</v>
      </c>
      <c r="AS85" s="5">
        <f>COUNTIFS(   D4:D1440,"Bioestadística",L4:L1440,"Sí")</f>
        <v>0</v>
      </c>
      <c r="AT85" s="5">
        <f>SUMIFS( E4:E1440, D4:D1440,"Bioestadística")</f>
        <v>5</v>
      </c>
      <c r="AU85" s="5">
        <f>SUMIFS( E4:E1440, F4:F1440,"Hombre", D4:D1440,"Bioestadística")</f>
        <v>5</v>
      </c>
      <c r="AV85" s="5">
        <f>SUMIFS( E4:E1440, F4:F1440,"Mujer", D4:D1440,"Bioestadística")</f>
        <v>0</v>
      </c>
      <c r="AW85" s="19">
        <f>SUMIFS( E4:E1440, A4:A1440,"2018", D4:D1440,"Bioestadística")</f>
        <v>0</v>
      </c>
      <c r="AX85" s="5">
        <f>SUMIFS( E4:E1440, A4:A1440,"2019", D4:D1440,"Bioestadística")</f>
        <v>0</v>
      </c>
      <c r="AY85" s="5">
        <f>SUMIFS( E4:E1440, A4:A1440,"2020", D4:D1440,"Bioestadística")</f>
        <v>5</v>
      </c>
      <c r="AZ85" s="5">
        <f>SUMIFS( E4:E1440, A4:A1440,"2021", D4:D1440,"Bioestadística")</f>
        <v>0</v>
      </c>
      <c r="BA85" s="5">
        <f>SUMIFS( E4:E1440, A4:A1440,"2022", D4:D1440,"Bioestadística")</f>
        <v>0</v>
      </c>
      <c r="BB85" s="19">
        <f>SUMIFS( E4:E1440, N4:N1440,"2018", D4:D1440,"Bioestadística")</f>
        <v>0</v>
      </c>
      <c r="BC85" s="5">
        <f>SUMIFS( E4:E1440, N4:N1440,"2019", D4:D1440,"Bioestadística")</f>
        <v>0</v>
      </c>
      <c r="BD85" s="5">
        <f>SUMIFS( E4:E1440, N4:N1440,"2020", D4:D1440,"Bioestadística")</f>
        <v>5</v>
      </c>
      <c r="BE85" s="5">
        <f>SUMIFS( E4:E1440, N4:N1440,"2021", D4:D1440,"Bioestadística")</f>
        <v>0</v>
      </c>
      <c r="BF85" s="5">
        <f>SUMIFS( E4:E1440, N4:N1440,"2022", D4:D1440,"Bioestadística")</f>
        <v>0</v>
      </c>
      <c r="BG85" s="14">
        <f>AVERAGEIFS( E4:E1440, D4:D1440,"Bioestadística")</f>
        <v>5</v>
      </c>
      <c r="BH85" s="14">
        <v>0</v>
      </c>
      <c r="BI85" s="14">
        <v>0</v>
      </c>
      <c r="BJ85" s="14">
        <v>0</v>
      </c>
      <c r="BK85" s="14" t="e">
        <f>AVERAGEIFS( E4:E1440, A4:A1440,"2021", D4:D1440,"Bioestadística")</f>
        <v>#DIV/0!</v>
      </c>
      <c r="BL85" s="37">
        <v>0</v>
      </c>
      <c r="BM85" s="14">
        <v>2</v>
      </c>
      <c r="BN85" s="14">
        <v>0</v>
      </c>
      <c r="BO85" s="14">
        <v>0</v>
      </c>
      <c r="BP85" s="14">
        <v>0</v>
      </c>
      <c r="BQ85" s="14">
        <v>2</v>
      </c>
      <c r="BR85" s="14">
        <v>0</v>
      </c>
    </row>
    <row r="86" spans="1:70" ht="15" customHeight="1">
      <c r="A86" s="24">
        <v>2018</v>
      </c>
      <c r="B86" s="24" t="s">
        <v>136</v>
      </c>
      <c r="C86" s="24" t="s">
        <v>176</v>
      </c>
      <c r="D86" s="24" t="s">
        <v>182</v>
      </c>
      <c r="E86" s="23">
        <v>10</v>
      </c>
      <c r="F86" s="24" t="s">
        <v>207</v>
      </c>
      <c r="G86" s="24" t="s">
        <v>225</v>
      </c>
      <c r="H86" s="23" t="s">
        <v>226</v>
      </c>
      <c r="I86" s="24" t="s">
        <v>226</v>
      </c>
      <c r="J86" s="23" t="s">
        <v>226</v>
      </c>
      <c r="K86" s="24" t="s">
        <v>226</v>
      </c>
      <c r="L86" s="23"/>
      <c r="M86" s="26" t="s">
        <v>283</v>
      </c>
      <c r="N86" s="24">
        <v>2018</v>
      </c>
      <c r="O86" s="40" t="s">
        <v>63</v>
      </c>
      <c r="P86" s="41"/>
      <c r="Q86" s="41"/>
      <c r="R86" s="41"/>
      <c r="S86" s="41"/>
      <c r="T86" s="42"/>
      <c r="U86" s="4">
        <f>COUNTIFS(   C4:C1440,"Física y Ciencias del Espacio")</f>
        <v>48</v>
      </c>
      <c r="V86" s="4">
        <f>COUNTIFS(   C4:C1440,"Física y Ciencias del Espacio",F4:F1440,"Hombre")</f>
        <v>34</v>
      </c>
      <c r="W86" s="4">
        <f>COUNTIFS(   C4:C1440,"Física y Ciencias del Espacio",F4:F1440,"Mujer")</f>
        <v>14</v>
      </c>
      <c r="X86" s="18">
        <f>COUNTIFS(   A4:A1440,"2018", C4:C1440,"Física y Ciencias del Espacio")</f>
        <v>8</v>
      </c>
      <c r="Y86" s="4">
        <f>COUNTIFS(   A4:A1440,"2019", C4:C1440,"Física y Ciencias del Espacio")</f>
        <v>14</v>
      </c>
      <c r="Z86" s="4">
        <f>COUNTIFS(   A4:A1440,"2020", C4:C1440,"Física y Ciencias del Espacio")</f>
        <v>19</v>
      </c>
      <c r="AA86" s="4">
        <f>COUNTIFS(   A4:A1440,"2021", C4:C1440,"Física y Ciencias del Espacio")</f>
        <v>7</v>
      </c>
      <c r="AB86" s="4">
        <f>COUNTIFS(   A4:A1440,"2022", C4:C1440,"Física y Ciencias del Espacio")</f>
        <v>0</v>
      </c>
      <c r="AC86" s="18">
        <f>COUNTIFS(   N4:N1440,"2018", C4:C1440,"Física y Ciencias del Espacio")</f>
        <v>4</v>
      </c>
      <c r="AD86" s="4">
        <f>COUNTIFS(   N4:N1440,"2019", C4:C1440,"Física y Ciencias del Espacio")</f>
        <v>14</v>
      </c>
      <c r="AE86" s="4">
        <f>COUNTIFS(   N4:N1440,"2020", C4:C1440,"Física y Ciencias del Espacio")</f>
        <v>7</v>
      </c>
      <c r="AF86" s="4">
        <f>COUNTIFS(   N4:N1440,"2021", C4:C1440,"Física y Ciencias del Espacio")</f>
        <v>19</v>
      </c>
      <c r="AG86" s="4">
        <f>COUNTIFS(   N4:N1440,"2022", C4:C1440,"Física y Ciencias del Espacio")</f>
        <v>4</v>
      </c>
      <c r="AH86" s="4">
        <f>COUNTIFS(   C4:C1440,"Física y Ciencias del Espacio",G4:G1440,"Sí")</f>
        <v>2</v>
      </c>
      <c r="AI86" s="4">
        <f>COUNTIFS(   C4:C1440,"Física y Ciencias del Espacio",G4:G1440,"No")</f>
        <v>46</v>
      </c>
      <c r="AJ86" s="4">
        <f>SUMIFS( E4:E1440, C4:C1440,"Física y Ciencias del Espacio",G4:G1440,"Sí")</f>
        <v>17</v>
      </c>
      <c r="AK86" s="4">
        <f>SUMIFS( E4:E1440, C4:C1440,"Física y Ciencias del Espacio",G4:G1440,"No")</f>
        <v>281</v>
      </c>
      <c r="AL86" s="4">
        <f>COUNTIFS(   C4:C1440,"Física y Ciencias del Espacio",H4:H1440,"Sí")</f>
        <v>35</v>
      </c>
      <c r="AM86" s="4">
        <f>COUNTIFS(   C4:C1440,"Física y Ciencias del Espacio",I4:I1440,"Sí")</f>
        <v>24</v>
      </c>
      <c r="AN86" s="4">
        <f>COUNTIFS(   C4:C1440,"Física y Ciencias del Espacio",I4:I1440,"No")</f>
        <v>24</v>
      </c>
      <c r="AO86" s="4">
        <f>SUMIFS( E4:E1440, C4:C1440,"Física y Ciencias del Espacio",I4:I1440,"Sí")</f>
        <v>206</v>
      </c>
      <c r="AP86" s="4">
        <f>SUMIFS( E4:E1440, C4:C1440,"Física y Ciencias del Espacio",I4:I1440,"No")</f>
        <v>92</v>
      </c>
      <c r="AQ86" s="4">
        <f>COUNTIFS(   C4:C1440,"Física y Ciencias del Espacio",J4:J1440,"Sí")</f>
        <v>48</v>
      </c>
      <c r="AR86" s="4">
        <f>COUNTIFS(   C4:C1440,"Física y Ciencias del Espacio",K4:K1440,"Sí")</f>
        <v>20</v>
      </c>
      <c r="AS86" s="4">
        <f>COUNTIFS(   C4:C1440,"Física y Ciencias del Espacio",L4:L1440,"Sí")</f>
        <v>0</v>
      </c>
      <c r="AT86" s="4">
        <f>SUMIFS( E4:E1440, C4:C1440,"Física y Ciencias del Espacio")</f>
        <v>298</v>
      </c>
      <c r="AU86" s="4">
        <f>SUMIFS( E4:E1440, F4:F1440,"Hombre", C4:C1440,"Física y Ciencias del Espacio")</f>
        <v>225</v>
      </c>
      <c r="AV86" s="4">
        <f>SUMIFS( E4:E1440, F4:F1440,"Mujer", C4:C1440,"Física y Ciencias del Espacio")</f>
        <v>73</v>
      </c>
      <c r="AW86" s="18">
        <f>SUMIFS( E4:E1440, A4:A1440,"2018", C4:C1440,"Física y Ciencias del Espacio")</f>
        <v>78</v>
      </c>
      <c r="AX86" s="4">
        <f>SUMIFS( E4:E1440, A4:A1440,"2019", C4:C1440,"Física y Ciencias del Espacio")</f>
        <v>85</v>
      </c>
      <c r="AY86" s="4">
        <f>SUMIFS( E4:E1440, A4:A1440,"2020", C4:C1440,"Física y Ciencias del Espacio")</f>
        <v>82</v>
      </c>
      <c r="AZ86" s="4">
        <f>SUMIFS( E4:E1440, A4:A1440,"2021", C4:C1440,"Física y Ciencias del Espacio")</f>
        <v>53</v>
      </c>
      <c r="BA86" s="4">
        <f>SUMIFS( E4:E1440, A4:A1440,"2022", C4:C1440,"Física y Ciencias del Espacio")</f>
        <v>0</v>
      </c>
      <c r="BB86" s="18">
        <f>SUMIFS( E4:E1440, N4:N1440,"2018", C4:C1440,"Física y Ciencias del Espacio")</f>
        <v>17</v>
      </c>
      <c r="BC86" s="4">
        <f>SUMIFS( E4:E1440, N4:N1440,"2019", C4:C1440,"Física y Ciencias del Espacio")</f>
        <v>127</v>
      </c>
      <c r="BD86" s="4">
        <f>SUMIFS( E4:E1440, N4:N1440,"2020", C4:C1440,"Física y Ciencias del Espacio")</f>
        <v>21</v>
      </c>
      <c r="BE86" s="4">
        <f>SUMIFS( E4:E1440, N4:N1440,"2021", C4:C1440,"Física y Ciencias del Espacio")</f>
        <v>97</v>
      </c>
      <c r="BF86" s="4">
        <f>SUMIFS( E4:E1440, N4:N1440,"2022", C4:C1440,"Física y Ciencias del Espacio")</f>
        <v>36</v>
      </c>
      <c r="BG86" s="13">
        <f>AVERAGEIFS( E4:E1440, C4:C1440,"Física y Ciencias del Espacio")</f>
        <v>8.5142857142857142</v>
      </c>
      <c r="BH86" s="13">
        <v>0</v>
      </c>
      <c r="BI86" s="13">
        <f>AVERAGEIFS( E4:E1440, A4:A1440,"2019", C4:C1440,"Física y Ciencias del Espacio")</f>
        <v>8.5</v>
      </c>
      <c r="BJ86" s="13">
        <f>AVERAGEIFS( E4:E1440, A4:A1440,"2020", C4:C1440,"Física y Ciencias del Espacio")</f>
        <v>6.3076923076923075</v>
      </c>
      <c r="BK86" s="13">
        <f>AVERAGEIFS( E4:E1440, A4:A1440,"2021", C4:C1440,"Física y Ciencias del Espacio")</f>
        <v>10.6</v>
      </c>
      <c r="BL86" s="37" t="e">
        <f>AVERAGEIFS( E4:E1440, A4:A1440,"2022", C4:C1440,"Física y Ciencias del Espacio")</f>
        <v>#DIV/0!</v>
      </c>
      <c r="BM86" s="13">
        <f>AVERAGE(AT88:AT95)</f>
        <v>33.25</v>
      </c>
      <c r="BN86" s="13">
        <v>0</v>
      </c>
      <c r="BO86" s="13">
        <f>AVERAGE(AX88:AX95)</f>
        <v>6.625</v>
      </c>
      <c r="BP86" s="13">
        <f>AVERAGE(AY88:AY95)</f>
        <v>10.25</v>
      </c>
      <c r="BQ86" s="13">
        <f>AVERAGE(AZ88:AZ95)</f>
        <v>6.625</v>
      </c>
      <c r="BR86" s="13">
        <f>AVERAGE(BA88:BA95)</f>
        <v>0</v>
      </c>
    </row>
    <row r="87" spans="1:70" s="34" customFormat="1" ht="15" customHeight="1">
      <c r="A87" s="24">
        <v>2018</v>
      </c>
      <c r="B87" s="24" t="s">
        <v>136</v>
      </c>
      <c r="C87" s="24" t="s">
        <v>176</v>
      </c>
      <c r="D87" s="24" t="s">
        <v>180</v>
      </c>
      <c r="E87" s="28">
        <v>3</v>
      </c>
      <c r="F87" s="24" t="s">
        <v>211</v>
      </c>
      <c r="G87" s="24" t="s">
        <v>225</v>
      </c>
      <c r="H87" s="23" t="s">
        <v>226</v>
      </c>
      <c r="I87" s="24" t="s">
        <v>225</v>
      </c>
      <c r="J87" s="23" t="s">
        <v>226</v>
      </c>
      <c r="K87" s="24" t="s">
        <v>226</v>
      </c>
      <c r="L87" s="23"/>
      <c r="M87" s="26" t="s">
        <v>284</v>
      </c>
      <c r="N87" s="46">
        <v>2018</v>
      </c>
      <c r="O87" s="54" t="s">
        <v>376</v>
      </c>
      <c r="P87" s="55"/>
      <c r="Q87" s="55"/>
      <c r="R87" s="55"/>
      <c r="S87" s="55"/>
      <c r="T87" s="56"/>
      <c r="U87" s="5">
        <f>COUNTIFS(   D3:D1439,"Astrofísica Galáctica")</f>
        <v>2</v>
      </c>
      <c r="V87" s="5">
        <f>COUNTIFS(   D3:D1439,"Astrofísica Galáctica",F3:F1439,"Hombre")</f>
        <v>2</v>
      </c>
      <c r="W87" s="5">
        <f>COUNTIFS(   D3:D1439,"Astrofísica Galáctica",F3:F1439,"Mujer")</f>
        <v>0</v>
      </c>
      <c r="X87" s="19">
        <f>COUNTIFS(   A3:A1439,"2018", D3:D1439,"Astrofísica Galáctica")</f>
        <v>0</v>
      </c>
      <c r="Y87" s="5">
        <f>COUNTIFS(   A3:A1439,"2019", D3:D1439,"Astrofísica Galáctica")</f>
        <v>2</v>
      </c>
      <c r="Z87" s="5">
        <f>COUNTIFS(   A3:A1439,"2020", D3:D1439,"Astrofísica Galáctica")</f>
        <v>0</v>
      </c>
      <c r="AA87" s="5">
        <f>COUNTIFS(   A3:A1439,"2021", D3:D1439,"Astrofísica Galáctica")</f>
        <v>0</v>
      </c>
      <c r="AB87" s="5">
        <f>COUNTIFS(  A3:A1439,"2022", D3:D1439,"Astrofísica Galáctica")</f>
        <v>0</v>
      </c>
      <c r="AC87" s="19">
        <f>COUNTIFS(   N3:N1439,"2018", D3:D1439,"Astrofísica Galáctica")</f>
        <v>0</v>
      </c>
      <c r="AD87" s="5">
        <f>COUNTIFS(   N3:N1439,"2019", D3:D1439,"Astrofísica Galáctica")</f>
        <v>1</v>
      </c>
      <c r="AE87" s="5">
        <f>COUNTIFS(   N3:N1439,"2020", D3:D1439,"Astrofísica Galáctica")</f>
        <v>1</v>
      </c>
      <c r="AF87" s="5">
        <f>COUNTIFS(   N3:N1439,"2021", D3:D1439,"Astrofísica Galáctica")</f>
        <v>0</v>
      </c>
      <c r="AG87" s="5">
        <f>COUNTIFS(   N3:N1439,"2022", D3:D1439,"Astrofísica Galáctica")</f>
        <v>0</v>
      </c>
      <c r="AH87" s="5">
        <f>COUNTIFS(   D3:D1439,"Astrofísica Galáctica",G3:G1439,"Sí")</f>
        <v>0</v>
      </c>
      <c r="AI87" s="5">
        <f>COUNTIFS(   D3:D1439,"Astrofísica Galáctica",G3:G1439,"No")</f>
        <v>2</v>
      </c>
      <c r="AJ87" s="5">
        <f>SUMIFS( E3:E1439, D3:D1439,"Astrofísica Galáctica",G3:G1439,"Sí")</f>
        <v>0</v>
      </c>
      <c r="AK87" s="5">
        <f>SUMIFS( E3:E1439, D3:D1439,"Astrofísica Galáctica",G3:G1439,"No")</f>
        <v>31</v>
      </c>
      <c r="AL87" s="5">
        <f>COUNTIFS(   D3:D1439,"Astrofísica Galáctica",H3:H1439,"Sí")</f>
        <v>2</v>
      </c>
      <c r="AM87" s="5">
        <f>COUNTIFS(   D3:D1439,"Astrofísica Galáctica",I3:I1439,"Sí")</f>
        <v>2</v>
      </c>
      <c r="AN87" s="5">
        <f>COUNTIFS(   D3:D1439,"Astrofísica Galáctica",I3:I1439,"No")</f>
        <v>0</v>
      </c>
      <c r="AO87" s="5">
        <f>SUMIFS( E3:E1439, D3:D1439,"Astrofísica Galáctica",I3:I1439,"Sí")</f>
        <v>31</v>
      </c>
      <c r="AP87" s="5">
        <f>SUMIFS( E3:E1439, D3:D1439,"Astrofísica Galáctica",I3:I1439,"No")</f>
        <v>0</v>
      </c>
      <c r="AQ87" s="5">
        <f>COUNTIFS(   D3:D1439,"Astrofísica Galáctica",J3:J1439,"Sí")</f>
        <v>2</v>
      </c>
      <c r="AR87" s="5">
        <f>COUNTIFS(   D3:D1439,"Astrofísica Galáctica",K3:K1439,"Sí")</f>
        <v>2</v>
      </c>
      <c r="AS87" s="5">
        <f>COUNTIFS(   D3:D1439,"Astrofísica Galáctica",L3:L1439,"Sí")</f>
        <v>0</v>
      </c>
      <c r="AT87" s="5">
        <f>SUMIFS( E3:E1439, D3:D1439,"Astrofísica Galáctica")</f>
        <v>31</v>
      </c>
      <c r="AU87" s="5">
        <f>SUMIFS( E3:E1439, F3:F1439,"Hombre", D3:D1439,"Astrofísica Galáctica")</f>
        <v>31</v>
      </c>
      <c r="AV87" s="5">
        <f>SUMIFS( E3:E1439, F3:F1439,"Mujer", D3:D1439,"Astrofísica Galáctica")</f>
        <v>0</v>
      </c>
      <c r="AW87" s="19">
        <f>SUMIFS( E3:E1439, A3:A1439,"2018", D3:D1439,"Astrofísica Galáctica")</f>
        <v>0</v>
      </c>
      <c r="AX87" s="5">
        <f>SUMIFS( E3:E1439, A3:A1439,"2019", D3:D1439,"Astrofísica Galáctica")</f>
        <v>31</v>
      </c>
      <c r="AY87" s="5">
        <f>SUMIFS( E3:E1439, A3:A1439,"2020", D3:D1439,"Astrofísica Galáctica")</f>
        <v>0</v>
      </c>
      <c r="AZ87" s="5">
        <f>SUMIFS( E3:E1439, A3:A1439,"2021", D3:D1439,"Astrofísica Galáctica")</f>
        <v>0</v>
      </c>
      <c r="BA87" s="5">
        <f>SUMIFS( E3:E1439, A3:A1439,"2022", D3:D1439,"Astrofísica Galáctica")</f>
        <v>0</v>
      </c>
      <c r="BB87" s="19">
        <f>SUMIFS( E3:E1439, N3:N1439,"2018", D3:D1439,"Astrofísica Galáctica")</f>
        <v>0</v>
      </c>
      <c r="BC87" s="5">
        <f>SUMIFS( E3:E1439, N3:N1439,"2019", D3:D1439,"Astrofísica Galáctica")</f>
        <v>30</v>
      </c>
      <c r="BD87" s="5">
        <f>SUMIFS( E3:E1439, N3:N1439,"2020", D3:D1439,"Astrofísica Galáctica")</f>
        <v>1</v>
      </c>
      <c r="BE87" s="5">
        <f>SUMIFS( E3:E1439, N3:N1439,"2021", D3:D1439,"Astrofísica Galáctica")</f>
        <v>0</v>
      </c>
      <c r="BF87" s="5">
        <f>SUMIFS( E3:E1439, N3:N1439,"2022", D3:D1439,"Astrofísica Galáctica")</f>
        <v>0</v>
      </c>
      <c r="BG87" s="14">
        <f>AVERAGEIFS( E3:E1439, D3:D1439,"Astrofísica Galáctica")</f>
        <v>15.5</v>
      </c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</row>
    <row r="88" spans="1:70" ht="15" customHeight="1">
      <c r="A88" s="24">
        <v>2018</v>
      </c>
      <c r="B88" s="24" t="s">
        <v>136</v>
      </c>
      <c r="C88" s="24" t="s">
        <v>152</v>
      </c>
      <c r="D88" s="24"/>
      <c r="E88" s="28">
        <v>4</v>
      </c>
      <c r="F88" s="24" t="s">
        <v>211</v>
      </c>
      <c r="G88" s="24" t="s">
        <v>225</v>
      </c>
      <c r="H88" s="23" t="s">
        <v>226</v>
      </c>
      <c r="I88" s="24" t="s">
        <v>225</v>
      </c>
      <c r="J88" s="23" t="s">
        <v>226</v>
      </c>
      <c r="K88" s="24" t="s">
        <v>226</v>
      </c>
      <c r="L88" s="23"/>
      <c r="M88" s="26" t="s">
        <v>285</v>
      </c>
      <c r="N88" s="24">
        <v>2018</v>
      </c>
      <c r="O88" s="67" t="s">
        <v>98</v>
      </c>
      <c r="P88" s="68"/>
      <c r="Q88" s="68"/>
      <c r="R88" s="68"/>
      <c r="S88" s="68"/>
      <c r="T88" s="69"/>
      <c r="U88" s="5">
        <f>COUNTIFS(   D4:D1440,"Astrofísica Planetaria")</f>
        <v>6</v>
      </c>
      <c r="V88" s="5">
        <f>COUNTIFS(   D4:D1440,"Astrofísica Planetaria",F4:F1440,"Hombre")</f>
        <v>5</v>
      </c>
      <c r="W88" s="5">
        <f>COUNTIFS(   D4:D1440,"Astrofísica Planetaria",F4:F1440,"Mujer")</f>
        <v>1</v>
      </c>
      <c r="X88" s="19">
        <f>COUNTIFS(   A4:A1440,"2018", D4:D1440,"Astrofísica Planetaria")</f>
        <v>0</v>
      </c>
      <c r="Y88" s="5">
        <f>COUNTIFS(   A4:A1440,"2019", D4:D1440,"Astrofísica Planetaria")</f>
        <v>3</v>
      </c>
      <c r="Z88" s="5">
        <f>COUNTIFS(   A4:A1440,"2020", D4:D1440,"Astrofísica Planetaria")</f>
        <v>2</v>
      </c>
      <c r="AA88" s="5">
        <f>COUNTIFS(   A4:A1440,"2021", D4:D1440,"Astrofísica Planetaria")</f>
        <v>1</v>
      </c>
      <c r="AB88" s="5">
        <f>COUNTIFS(  A4:A1440,"2022", D4:D1440,"Astrofísica Planetaria")</f>
        <v>0</v>
      </c>
      <c r="AC88" s="19">
        <f>COUNTIFS(   N4:N1440,"2018", D4:D1440,"Astrofísica Planetaria")</f>
        <v>0</v>
      </c>
      <c r="AD88" s="5">
        <f>COUNTIFS(   N4:N1440,"2019", D4:D1440,"Astrofísica Planetaria")</f>
        <v>3</v>
      </c>
      <c r="AE88" s="5">
        <f>COUNTIFS(   N4:N1440,"2020", D4:D1440,"Astrofísica Planetaria")</f>
        <v>0</v>
      </c>
      <c r="AF88" s="5">
        <f>COUNTIFS(   N4:N1440,"2021", D4:D1440,"Astrofísica Planetaria")</f>
        <v>3</v>
      </c>
      <c r="AG88" s="5">
        <f>COUNTIFS(   N4:N1440,"2022", D4:D1440,"Astrofísica Planetaria")</f>
        <v>0</v>
      </c>
      <c r="AH88" s="5">
        <f>COUNTIFS(   D4:D1440,"Astrofísica Planetaria",G4:G1440,"Sí")</f>
        <v>0</v>
      </c>
      <c r="AI88" s="5">
        <f>COUNTIFS(   D4:D1440,"Astrofísica Planetaria",G4:G1440,"No")</f>
        <v>6</v>
      </c>
      <c r="AJ88" s="5">
        <f>SUMIFS( E4:E1440, D4:D1440,"Astrofísica Planetaria",G4:G1440,"Sí")</f>
        <v>0</v>
      </c>
      <c r="AK88" s="5">
        <f>SUMIFS( E4:E1440, D4:D1440,"Astrofísica Planetaria",G4:G1440,"No")</f>
        <v>10</v>
      </c>
      <c r="AL88" s="5">
        <f>COUNTIFS(   D4:D1440,"Astrofísica Planetaria",H4:H1440,"Sí")</f>
        <v>4</v>
      </c>
      <c r="AM88" s="5">
        <f>COUNTIFS(   D4:D1440,"Astrofísica Planetaria",I4:I1440,"Sí")</f>
        <v>2</v>
      </c>
      <c r="AN88" s="5">
        <f>COUNTIFS(   D4:D1440,"Astrofísica Planetaria",I4:I1440,"No")</f>
        <v>4</v>
      </c>
      <c r="AO88" s="5">
        <f>SUMIFS( E4:E1440, D4:D1440,"Astrofísica Planetaria",I4:I1440,"Sí")</f>
        <v>6</v>
      </c>
      <c r="AP88" s="5">
        <f>SUMIFS( E4:E1440, D4:D1440,"Astrofísica Planetaria",I4:I1440,"No")</f>
        <v>4</v>
      </c>
      <c r="AQ88" s="5">
        <f>COUNTIFS(   D4:D1440,"Astrofísica Planetaria",J4:J1440,"Sí")</f>
        <v>6</v>
      </c>
      <c r="AR88" s="5">
        <f>COUNTIFS(   D4:D1440,"Astrofísica Planetaria",K4:K1440,"Sí")</f>
        <v>3</v>
      </c>
      <c r="AS88" s="5">
        <f>COUNTIFS(   D4:D1440,"Astrofísica Planetaria",L4:L1440,"Sí")</f>
        <v>0</v>
      </c>
      <c r="AT88" s="5">
        <f>SUMIFS( E4:E1440, D4:D1440,"Astrofísica Planetaria")</f>
        <v>10</v>
      </c>
      <c r="AU88" s="5">
        <f>SUMIFS( E4:E1440, F4:F1440,"Hombre", D4:D1440,"Astrofísica Planetaria")</f>
        <v>9</v>
      </c>
      <c r="AV88" s="5">
        <f>SUMIFS( E4:E1440, F4:F1440,"Mujer", D4:D1440,"Astrofísica Planetaria")</f>
        <v>1</v>
      </c>
      <c r="AW88" s="19">
        <f>SUMIFS( E4:E1440, A4:A1440,"2018", D4:D1440,"Astrofísica Planetaria")</f>
        <v>0</v>
      </c>
      <c r="AX88" s="5">
        <f>SUMIFS( E4:E1440, A4:A1440,"2019", D4:D1440,"Astrofísica Planetaria")</f>
        <v>6</v>
      </c>
      <c r="AY88" s="5">
        <f>SUMIFS( E4:E1440, A4:A1440,"2020", D4:D1440,"Astrofísica Planetaria")</f>
        <v>3</v>
      </c>
      <c r="AZ88" s="5">
        <f>SUMIFS( E4:E1440, A4:A1440,"2021", D4:D1440,"Astrofísica Planetaria")</f>
        <v>1</v>
      </c>
      <c r="BA88" s="5">
        <f>SUMIFS( E4:E1440, A4:A1440,"2022", D4:D1440,"Astrofísica Planetaria")</f>
        <v>0</v>
      </c>
      <c r="BB88" s="19">
        <f>SUMIFS( E4:E1440, N4:N1440,"2018", D4:D1440,"Astrofísica Planetaria")</f>
        <v>0</v>
      </c>
      <c r="BC88" s="5">
        <f>SUMIFS( E4:E1440, N4:N1440,"2019", D4:D1440,"Astrofísica Planetaria")</f>
        <v>6</v>
      </c>
      <c r="BD88" s="5">
        <f>SUMIFS( E4:E1440, N4:N1440,"2020", D4:D1440,"Astrofísica Planetaria")</f>
        <v>0</v>
      </c>
      <c r="BE88" s="5">
        <f>SUMIFS( E4:E1440, N4:N1440,"2021", D4:D1440,"Astrofísica Planetaria")</f>
        <v>4</v>
      </c>
      <c r="BF88" s="5">
        <f>SUMIFS( E4:E1440, N4:N1440,"2022", D4:D1440,"Astrofísica Planetaria")</f>
        <v>0</v>
      </c>
      <c r="BG88" s="14">
        <f>AVERAGEIFS( E4:E1440, D4:D1440,"Astrofísica Planetaria")</f>
        <v>2.5</v>
      </c>
      <c r="BH88" s="14">
        <v>0</v>
      </c>
      <c r="BI88" s="14">
        <v>0</v>
      </c>
      <c r="BJ88" s="14">
        <v>0</v>
      </c>
      <c r="BK88" s="14">
        <v>0</v>
      </c>
      <c r="BL88" s="37" t="e">
        <f>AVERAGEIFS( E4:E1440, A4:A1440,"2022", D4:D1440,"Astrofísica Planetaria")</f>
        <v>#DIV/0!</v>
      </c>
      <c r="BM88" s="14">
        <v>8</v>
      </c>
      <c r="BN88" s="14">
        <v>0</v>
      </c>
      <c r="BO88" s="14">
        <v>0</v>
      </c>
      <c r="BP88" s="14">
        <v>0</v>
      </c>
      <c r="BQ88" s="14">
        <v>0</v>
      </c>
      <c r="BR88" s="14">
        <v>8</v>
      </c>
    </row>
    <row r="89" spans="1:70" ht="15" customHeight="1">
      <c r="A89" s="24">
        <v>2018</v>
      </c>
      <c r="B89" s="24" t="s">
        <v>136</v>
      </c>
      <c r="C89" s="24" t="s">
        <v>176</v>
      </c>
      <c r="D89" s="24" t="s">
        <v>181</v>
      </c>
      <c r="E89" s="23">
        <v>5</v>
      </c>
      <c r="F89" s="24" t="s">
        <v>211</v>
      </c>
      <c r="G89" s="24" t="s">
        <v>225</v>
      </c>
      <c r="H89" s="23" t="s">
        <v>226</v>
      </c>
      <c r="I89" s="24" t="s">
        <v>226</v>
      </c>
      <c r="J89" s="23" t="s">
        <v>226</v>
      </c>
      <c r="K89" s="24" t="s">
        <v>226</v>
      </c>
      <c r="L89" s="23"/>
      <c r="M89" s="26" t="s">
        <v>285</v>
      </c>
      <c r="N89" s="24">
        <v>2018</v>
      </c>
      <c r="O89" s="67" t="s">
        <v>99</v>
      </c>
      <c r="P89" s="68"/>
      <c r="Q89" s="68"/>
      <c r="R89" s="68"/>
      <c r="S89" s="68"/>
      <c r="T89" s="69"/>
      <c r="U89" s="5">
        <f>COUNTIFS(   D4:D1440,"Ciencia y Tecnología de Nanopartículas e Interfases")</f>
        <v>8</v>
      </c>
      <c r="V89" s="5">
        <f>COUNTIFS(   D4:D1440,"Ciencia y Tecnología de Nanopartículas e Interfases",F4:F1440,"Hombre")</f>
        <v>4</v>
      </c>
      <c r="W89" s="5">
        <f>COUNTIFS(   D4:D1440,"Ciencia y Tecnología de Nanopartículas e Interfases",F4:F1440,"Mujer")</f>
        <v>4</v>
      </c>
      <c r="X89" s="19">
        <f>COUNTIFS(   A4:A1440,"2018", D4:D1440,"Ciencia y Tecnología de Nanopartículas e Interfases")</f>
        <v>1</v>
      </c>
      <c r="Y89" s="5">
        <f>COUNTIFS(   A4:A1440,"2019", D4:D1440,"Ciencia y Tecnología de Nanopartículas e Interfases")</f>
        <v>1</v>
      </c>
      <c r="Z89" s="5">
        <f>COUNTIFS(   A4:A1440,"2020", D4:D1440,"Ciencia y Tecnología de Nanopartículas e Interfases")</f>
        <v>5</v>
      </c>
      <c r="AA89" s="5">
        <f>COUNTIFS(   A4:A1440,"2021", D4:D1440,"Ciencia y Tecnología de Nanopartículas e Interfases")</f>
        <v>1</v>
      </c>
      <c r="AB89" s="5">
        <f>COUNTIFS(  A4:A1440,"2022", D4:D1440,"Ciencia y Tecnología de Nanopartículas e Interfases")</f>
        <v>0</v>
      </c>
      <c r="AC89" s="19">
        <f>COUNTIFS(   N4:N1440,"2018", D4:D1440,"Ciencia y Tecnología de Nanopartículas e Interfases")</f>
        <v>1</v>
      </c>
      <c r="AD89" s="5">
        <f>COUNTIFS(   N4:N1440,"2019", D4:D1440,"Ciencia y Tecnología de Nanopartículas e Interfases")</f>
        <v>1</v>
      </c>
      <c r="AE89" s="5">
        <f>COUNTIFS(   N4:N1440,"2020", D4:D1440,"Ciencia y Tecnología de Nanopartículas e Interfases")</f>
        <v>2</v>
      </c>
      <c r="AF89" s="5">
        <f>COUNTIFS(   N4:N1440,"2021", D4:D1440,"Ciencia y Tecnología de Nanopartículas e Interfases")</f>
        <v>3</v>
      </c>
      <c r="AG89" s="5">
        <f>COUNTIFS(   N4:N1440,"2022", D4:D1440,"Ciencia y Tecnología de Nanopartículas e Interfases")</f>
        <v>1</v>
      </c>
      <c r="AH89" s="5">
        <f>COUNTIFS(   D4:D1440,"Ciencia y Tecnología de Nanopartículas e Interfases",G4:G1440,"Sí")</f>
        <v>0</v>
      </c>
      <c r="AI89" s="5">
        <f>COUNTIFS(   D4:D1440,"Ciencia y Tecnología de Nanopartículas e Interfases",G4:G1440,"No")</f>
        <v>8</v>
      </c>
      <c r="AJ89" s="5">
        <f>SUMIFS( E4:E1440, D4:D1440,"Ciencia y Tecnología de Nanopartículas e Interfases",G4:G1440,"Sí")</f>
        <v>0</v>
      </c>
      <c r="AK89" s="5">
        <f>SUMIFS( E4:E1440, D4:D1440,"Ciencia y Tecnología de Nanopartículas e Interfases",G4:G1440,"No")</f>
        <v>21</v>
      </c>
      <c r="AL89" s="5">
        <f>COUNTIFS(   D4:D1440,"Ciencia y Tecnología de Nanopartículas e Interfases",H4:H1440,"Sí")</f>
        <v>4</v>
      </c>
      <c r="AM89" s="5">
        <f>COUNTIFS(   D4:D1440,"Ciencia y Tecnología de Nanopartículas e Interfases",I4:I1440,"Sí")</f>
        <v>4</v>
      </c>
      <c r="AN89" s="5">
        <f>COUNTIFS(   D4:D1440,"Ciencia y Tecnología de Nanopartículas e Interfases",I4:I1440,"No")</f>
        <v>4</v>
      </c>
      <c r="AO89" s="5">
        <f>SUMIFS( E4:E1440, D4:D1440,"Ciencia y Tecnología de Nanopartículas e Interfases",I4:I1440,"Sí")</f>
        <v>19</v>
      </c>
      <c r="AP89" s="5">
        <f>SUMIFS( E4:E1440, D4:D1440,"Ciencia y Tecnología de Nanopartículas e Interfases",I4:I1440,"No")</f>
        <v>2</v>
      </c>
      <c r="AQ89" s="5">
        <f>COUNTIFS(   D4:D1440,"Ciencia y Tecnología de Nanopartículas e Interfases",J4:J1440,"Sí")</f>
        <v>8</v>
      </c>
      <c r="AR89" s="5">
        <f>COUNTIFS(   D4:D1440,"Ciencia y Tecnología de Nanopartículas e Interfases",K4:K1440,"Sí")</f>
        <v>2</v>
      </c>
      <c r="AS89" s="5">
        <f>COUNTIFS(   D4:D1440,"Ciencia y Tecnología de Nanopartículas e Interfases",L4:L1440,"Sí")</f>
        <v>0</v>
      </c>
      <c r="AT89" s="5">
        <f>SUMIFS( E4:E1440, D4:D1440,"Ciencia y Tecnología de Nanopartículas e Interfases")</f>
        <v>21</v>
      </c>
      <c r="AU89" s="5">
        <f>SUMIFS( E4:E1440, F4:F1440,"Hombre", D4:D1440,"Ciencia y Tecnología de Nanopartículas e Interfases")</f>
        <v>13</v>
      </c>
      <c r="AV89" s="5">
        <f>SUMIFS( E4:E1440, F4:F1440,"Mujer", D4:D1440,"Ciencia y Tecnología de Nanopartículas e Interfases")</f>
        <v>8</v>
      </c>
      <c r="AW89" s="19">
        <f>SUMIFS( E4:E1440, A4:A1440,"2018", D4:D1440,"Ciencia y Tecnología de Nanopartículas e Interfases")</f>
        <v>8</v>
      </c>
      <c r="AX89" s="5">
        <f>SUMIFS( E4:E1440, A4:A1440,"2019", D4:D1440,"Ciencia y Tecnología de Nanopartículas e Interfases")</f>
        <v>0</v>
      </c>
      <c r="AY89" s="5">
        <f>SUMIFS( E4:E1440, A4:A1440,"2020", D4:D1440,"Ciencia y Tecnología de Nanopartículas e Interfases")</f>
        <v>11</v>
      </c>
      <c r="AZ89" s="5">
        <f>SUMIFS( E4:E1440, A4:A1440,"2021", D4:D1440,"Ciencia y Tecnología de Nanopartículas e Interfases")</f>
        <v>2</v>
      </c>
      <c r="BA89" s="5">
        <f>SUMIFS( E4:E1440, A4:A1440,"2022", D4:D1440,"Ciencia y Tecnología de Nanopartículas e Interfases")</f>
        <v>0</v>
      </c>
      <c r="BB89" s="19">
        <f>SUMIFS( E4:E1440, N4:N1440,"2018", D4:D1440,"Ciencia y Tecnología de Nanopartículas e Interfases")</f>
        <v>8</v>
      </c>
      <c r="BC89" s="5">
        <f>SUMIFS( E4:E1440, N4:N1440,"2019", D4:D1440,"Ciencia y Tecnología de Nanopartículas e Interfases")</f>
        <v>0</v>
      </c>
      <c r="BD89" s="5">
        <f>SUMIFS( E4:E1440, N4:N1440,"2020", D4:D1440,"Ciencia y Tecnología de Nanopartículas e Interfases")</f>
        <v>0</v>
      </c>
      <c r="BE89" s="5">
        <f>SUMIFS( E4:E1440, N4:N1440,"2021", D4:D1440,"Ciencia y Tecnología de Nanopartículas e Interfases")</f>
        <v>11</v>
      </c>
      <c r="BF89" s="5">
        <f>SUMIFS( E4:E1440, N4:N1440,"2022", D4:D1440,"Ciencia y Tecnología de Nanopartículas e Interfases")</f>
        <v>2</v>
      </c>
      <c r="BG89" s="14">
        <f>AVERAGEIFS( E4:E1440, D4:D1440,"Ciencia y Tecnología de Nanopartículas e Interfases")</f>
        <v>5.25</v>
      </c>
      <c r="BH89" s="14">
        <v>0</v>
      </c>
      <c r="BI89" s="14" t="e">
        <f>AVERAGEIFS( E4:E1440, A4:A1440,"2019", D4:D1440,"Ciencia y Tecnología de Nanopartículas e Interfases")</f>
        <v>#DIV/0!</v>
      </c>
      <c r="BJ89" s="14">
        <v>0</v>
      </c>
      <c r="BK89" s="14">
        <f>AVERAGEIFS( E4:E1440, A4:A1440,"2021", D4:D1440,"Ciencia y Tecnología de Nanopartículas e Interfases")</f>
        <v>2</v>
      </c>
      <c r="BL89" s="37" t="e">
        <f>AVERAGEIFS( E4:E1440, A4:A1440,"2022", D4:D1440,"Ciencia y Tecnología de Nanopartículas e Interfases")</f>
        <v>#DIV/0!</v>
      </c>
      <c r="BM89" s="14">
        <v>7.5</v>
      </c>
      <c r="BN89" s="14">
        <v>0</v>
      </c>
      <c r="BO89" s="14">
        <v>4</v>
      </c>
      <c r="BP89" s="14">
        <v>0</v>
      </c>
      <c r="BQ89" s="14">
        <v>10</v>
      </c>
      <c r="BR89" s="14">
        <v>6</v>
      </c>
    </row>
    <row r="90" spans="1:70" ht="15" customHeight="1">
      <c r="A90" s="24">
        <v>2018</v>
      </c>
      <c r="B90" s="24" t="s">
        <v>4</v>
      </c>
      <c r="C90" s="24" t="s">
        <v>5</v>
      </c>
      <c r="D90" s="24" t="s">
        <v>7</v>
      </c>
      <c r="E90" s="23">
        <v>24</v>
      </c>
      <c r="F90" s="24" t="s">
        <v>207</v>
      </c>
      <c r="G90" s="24" t="s">
        <v>225</v>
      </c>
      <c r="H90" s="23" t="s">
        <v>226</v>
      </c>
      <c r="I90" s="24" t="s">
        <v>226</v>
      </c>
      <c r="J90" s="23" t="s">
        <v>226</v>
      </c>
      <c r="K90" s="24" t="s">
        <v>226</v>
      </c>
      <c r="L90" s="23"/>
      <c r="M90" s="26" t="s">
        <v>285</v>
      </c>
      <c r="N90" s="24">
        <v>2018</v>
      </c>
      <c r="O90" s="67" t="s">
        <v>96</v>
      </c>
      <c r="P90" s="68"/>
      <c r="Q90" s="68"/>
      <c r="R90" s="68"/>
      <c r="S90" s="68"/>
      <c r="T90" s="69"/>
      <c r="U90" s="5">
        <f>COUNTIFS(   D4:D1440,"Ciencias Atmosféricas y Meteorología")</f>
        <v>8</v>
      </c>
      <c r="V90" s="5">
        <f>COUNTIFS(   D4:D1440,"Ciencias Atmosféricas y Meteorología",F4:F1440,"Hombre")</f>
        <v>7</v>
      </c>
      <c r="W90" s="5">
        <f>COUNTIFS(   D4:D1440,"Ciencias Atmosféricas y Meteorología",F4:F1440,"Mujer")</f>
        <v>1</v>
      </c>
      <c r="X90" s="19">
        <f>COUNTIFS(   A4:A1440,"2018", D4:D1440,"Ciencias Atmosféricas y Meteorología")</f>
        <v>3</v>
      </c>
      <c r="Y90" s="5">
        <f>COUNTIFS(   A4:A1440,"2019", D4:D1440,"Ciencias Atmosféricas y Meteorología")</f>
        <v>1</v>
      </c>
      <c r="Z90" s="5">
        <f>COUNTIFS(   A4:A1440,"2020", D4:D1440,"Ciencias Atmosféricas y Meteorología")</f>
        <v>3</v>
      </c>
      <c r="AA90" s="5">
        <f>COUNTIFS(   A4:A1440,"2021", D4:D1440,"Ciencias Atmosféricas y Meteorología")</f>
        <v>1</v>
      </c>
      <c r="AB90" s="5">
        <f>COUNTIFS(  A4:A1440,"2022", D4:D1440,"Ciencias Atmosféricas y Meteorología")</f>
        <v>0</v>
      </c>
      <c r="AC90" s="19">
        <f>COUNTIFS(   N4:N1440,"2018", D4:D1440,"Ciencias Atmosféricas y Meteorología")</f>
        <v>1</v>
      </c>
      <c r="AD90" s="5">
        <f>COUNTIFS(   N4:N1440,"2019", D4:D1440,"Ciencias Atmosféricas y Meteorología")</f>
        <v>3</v>
      </c>
      <c r="AE90" s="5">
        <f>COUNTIFS(   N4:N1440,"2020", D4:D1440,"Ciencias Atmosféricas y Meteorología")</f>
        <v>0</v>
      </c>
      <c r="AF90" s="5">
        <f>COUNTIFS(   N4:N1440,"2021", D4:D1440,"Ciencias Atmosféricas y Meteorología")</f>
        <v>4</v>
      </c>
      <c r="AG90" s="5">
        <f>COUNTIFS(   N4:N1440,"2022", D4:D1440,"Ciencias Atmosféricas y Meteorología")</f>
        <v>0</v>
      </c>
      <c r="AH90" s="5">
        <f>COUNTIFS(   D4:D1440,"Ciencias Atmosféricas y Meteorología",G4:G1440,"Sí")</f>
        <v>1</v>
      </c>
      <c r="AI90" s="5">
        <f>COUNTIFS(   D4:D1440,"Ciencias Atmosféricas y Meteorología",G4:G1440,"No")</f>
        <v>7</v>
      </c>
      <c r="AJ90" s="5">
        <f>SUMIFS( E4:E1440, D4:D1440,"Ciencias Atmosféricas y Meteorología",G4:G1440,"Sí")</f>
        <v>17</v>
      </c>
      <c r="AK90" s="5">
        <f>SUMIFS( E4:E1440, D4:D1440,"Ciencias Atmosféricas y Meteorología",G4:G1440,"No")</f>
        <v>59</v>
      </c>
      <c r="AL90" s="5">
        <f>COUNTIFS(   D4:D1440,"Ciencias Atmosféricas y Meteorología",H4:H1440,"Sí")</f>
        <v>7</v>
      </c>
      <c r="AM90" s="5">
        <f>COUNTIFS(   D4:D1440,"Ciencias Atmosféricas y Meteorología",I4:I1440,"Sí")</f>
        <v>4</v>
      </c>
      <c r="AN90" s="5">
        <f>COUNTIFS(   D4:D1440,"Ciencias Atmosféricas y Meteorología",I4:I1440,"No")</f>
        <v>4</v>
      </c>
      <c r="AO90" s="5">
        <f>SUMIFS( E4:E1440, D4:D1440,"Ciencias Atmosféricas y Meteorología",I4:I1440,"Sí")</f>
        <v>68</v>
      </c>
      <c r="AP90" s="5">
        <f>SUMIFS( E4:E1440, D4:D1440,"Ciencias Atmosféricas y Meteorología",I4:I1440,"No")</f>
        <v>8</v>
      </c>
      <c r="AQ90" s="5">
        <f>COUNTIFS(   D4:D1440,"Ciencias Atmosféricas y Meteorología",J4:J1440,"Sí")</f>
        <v>8</v>
      </c>
      <c r="AR90" s="5">
        <f>COUNTIFS(   D4:D1440,"Ciencias Atmosféricas y Meteorología",K4:K1440,"Sí")</f>
        <v>4</v>
      </c>
      <c r="AS90" s="5">
        <f>COUNTIFS(   D4:D1440,"Ciencias Atmosféricas y Meteorología",L4:L1440,"Sí")</f>
        <v>0</v>
      </c>
      <c r="AT90" s="5">
        <f>SUMIFS( E4:E1440, D4:D1440,"Ciencias Atmosféricas y Meteorología")</f>
        <v>76</v>
      </c>
      <c r="AU90" s="5">
        <f>SUMIFS( E4:E1440, F4:F1440,"Hombre", D4:D1440,"Ciencias Atmosféricas y Meteorología")</f>
        <v>73</v>
      </c>
      <c r="AV90" s="5">
        <f>SUMIFS( E4:E1440, F4:F1440,"Mujer", D4:D1440,"Ciencias Atmosféricas y Meteorología")</f>
        <v>3</v>
      </c>
      <c r="AW90" s="19">
        <f>SUMIFS( E4:E1440, A4:A1440,"2018", D4:D1440,"Ciencias Atmosféricas y Meteorología")</f>
        <v>47</v>
      </c>
      <c r="AX90" s="5">
        <f>SUMIFS( E4:E1440, A4:A1440,"2019", D4:D1440,"Ciencias Atmosféricas y Meteorología")</f>
        <v>24</v>
      </c>
      <c r="AY90" s="5">
        <f>SUMIFS( E4:E1440, A4:A1440,"2020", D4:D1440,"Ciencias Atmosféricas y Meteorología")</f>
        <v>5</v>
      </c>
      <c r="AZ90" s="5">
        <f>SUMIFS( E4:E1440, A4:A1440,"2021", D4:D1440,"Ciencias Atmosféricas y Meteorología")</f>
        <v>0</v>
      </c>
      <c r="BA90" s="5">
        <f>SUMIFS( E4:E1440, A4:A1440,"2022", D4:D1440,"Ciencias Atmosféricas y Meteorología")</f>
        <v>0</v>
      </c>
      <c r="BB90" s="19">
        <f>SUMIFS( E4:E1440, N4:N1440,"2018", D4:D1440,"Ciencias Atmosféricas y Meteorología")</f>
        <v>4</v>
      </c>
      <c r="BC90" s="5">
        <f>SUMIFS( E4:E1440, N4:N1440,"2019", D4:D1440,"Ciencias Atmosféricas y Meteorología")</f>
        <v>67</v>
      </c>
      <c r="BD90" s="5">
        <f>SUMIFS( E4:E1440, N4:N1440,"2020", D4:D1440,"Ciencias Atmosféricas y Meteorología")</f>
        <v>0</v>
      </c>
      <c r="BE90" s="5">
        <f>SUMIFS( E4:E1440, N4:N1440,"2021", D4:D1440,"Ciencias Atmosféricas y Meteorología")</f>
        <v>5</v>
      </c>
      <c r="BF90" s="5">
        <f>SUMIFS( E4:E1440, N4:N1440,"2022", D4:D1440,"Ciencias Atmosféricas y Meteorología")</f>
        <v>0</v>
      </c>
      <c r="BG90" s="14">
        <f>AVERAGEIFS( E4:E1440, D4:D1440,"Ciencias Atmosféricas y Meteorología")</f>
        <v>10.857142857142858</v>
      </c>
      <c r="BH90" s="14">
        <v>0</v>
      </c>
      <c r="BI90" s="14">
        <v>0</v>
      </c>
      <c r="BJ90" s="14">
        <v>0</v>
      </c>
      <c r="BK90" s="14">
        <v>0</v>
      </c>
      <c r="BL90" s="37" t="e">
        <f>AVERAGEIFS( E4:E1440, A4:A1440,"2022", D4:D1440,"Ciencias Atmosféricas y Meteorología")</f>
        <v>#DIV/0!</v>
      </c>
      <c r="BM90" s="14">
        <v>4</v>
      </c>
      <c r="BN90" s="14">
        <v>0</v>
      </c>
      <c r="BO90" s="14">
        <v>0</v>
      </c>
      <c r="BP90" s="14">
        <v>0</v>
      </c>
      <c r="BQ90" s="14">
        <v>0</v>
      </c>
      <c r="BR90" s="14">
        <v>4</v>
      </c>
    </row>
    <row r="91" spans="1:70" ht="15" customHeight="1">
      <c r="A91" s="24">
        <v>2018</v>
      </c>
      <c r="B91" s="24" t="s">
        <v>136</v>
      </c>
      <c r="C91" s="24" t="s">
        <v>137</v>
      </c>
      <c r="D91" s="24" t="s">
        <v>140</v>
      </c>
      <c r="E91" s="23"/>
      <c r="F91" s="24" t="s">
        <v>211</v>
      </c>
      <c r="G91" s="24" t="s">
        <v>225</v>
      </c>
      <c r="H91" s="23" t="s">
        <v>225</v>
      </c>
      <c r="I91" s="24" t="s">
        <v>225</v>
      </c>
      <c r="J91" s="23" t="s">
        <v>226</v>
      </c>
      <c r="K91" s="24" t="s">
        <v>226</v>
      </c>
      <c r="L91" s="23"/>
      <c r="M91" s="25">
        <v>43445</v>
      </c>
      <c r="N91" s="24">
        <v>2018</v>
      </c>
      <c r="O91" s="67" t="s">
        <v>97</v>
      </c>
      <c r="P91" s="68"/>
      <c r="Q91" s="68"/>
      <c r="R91" s="68"/>
      <c r="S91" s="68"/>
      <c r="T91" s="69"/>
      <c r="U91" s="5">
        <f>COUNTIFS(   D4:D1440,"Física Atómica, Molecular y Nuclear")</f>
        <v>3</v>
      </c>
      <c r="V91" s="5">
        <f>COUNTIFS(   D4:D1440,"Física Atómica, Molecular y Nuclear",F4:F1440,"Hombre")</f>
        <v>2</v>
      </c>
      <c r="W91" s="5">
        <f>COUNTIFS(   D4:D1440,"Física Atómica, Molecular y Nuclear",F4:F1440,"Mujer")</f>
        <v>1</v>
      </c>
      <c r="X91" s="19">
        <f>COUNTIFS(   A4:A1440,"2018", D4:D1440,"Física Atómica, Molecular y Nuclear")</f>
        <v>0</v>
      </c>
      <c r="Y91" s="5">
        <f>COUNTIFS(   A4:A1440,"2019", D4:D1440,"Física Atómica, Molecular y Nuclear")</f>
        <v>1</v>
      </c>
      <c r="Z91" s="5">
        <f>COUNTIFS(   A4:A1440,"2020", D4:D1440,"Física Atómica, Molecular y Nuclear")</f>
        <v>1</v>
      </c>
      <c r="AA91" s="5">
        <f>COUNTIFS(   A4:A1440,"2021", D4:D1440,"Física Atómica, Molecular y Nuclear")</f>
        <v>1</v>
      </c>
      <c r="AB91" s="5">
        <f>COUNTIFS(  A4:A1440,"2022", D4:D1440,"Física Atómica, Molecular y Nuclear")</f>
        <v>0</v>
      </c>
      <c r="AC91" s="19">
        <f>COUNTIFS(   N4:N1440,"2018", D4:D1440,"Física Atómica, Molecular y Nuclear")</f>
        <v>0</v>
      </c>
      <c r="AD91" s="5">
        <f>COUNTIFS(   N4:N1440,"2019", D4:D1440,"Física Atómica, Molecular y Nuclear")</f>
        <v>0</v>
      </c>
      <c r="AE91" s="5">
        <f>COUNTIFS(   N4:N1440,"2020", D4:D1440,"Física Atómica, Molecular y Nuclear")</f>
        <v>1</v>
      </c>
      <c r="AF91" s="5">
        <f>COUNTIFS(   N4:N1440,"2021", D4:D1440,"Física Atómica, Molecular y Nuclear")</f>
        <v>1</v>
      </c>
      <c r="AG91" s="5">
        <f>COUNTIFS(   N4:N1440,"2022", D4:D1440,"Física Atómica, Molecular y Nuclear")</f>
        <v>1</v>
      </c>
      <c r="AH91" s="5">
        <f>COUNTIFS(   D4:D1440,"Física Atómica, Molecular y Nuclear",G4:G1440,"Sí")</f>
        <v>0</v>
      </c>
      <c r="AI91" s="5">
        <f>COUNTIFS(   D4:D1440,"Física Atómica, Molecular y Nuclear",G4:G1440,"No")</f>
        <v>3</v>
      </c>
      <c r="AJ91" s="5">
        <f>SUMIFS( E4:E1440, D4:D1440,"Física Atómica, Molecular y Nuclear",G4:G1440,"Sí")</f>
        <v>0</v>
      </c>
      <c r="AK91" s="5">
        <f>SUMIFS( E4:E1440, D4:D1440,"Física Atómica, Molecular y Nuclear",G4:G1440,"No")</f>
        <v>6</v>
      </c>
      <c r="AL91" s="5">
        <f>COUNTIFS(   D4:D1440,"Física Atómica, Molecular y Nuclear",H4:H1440,"Sí")</f>
        <v>2</v>
      </c>
      <c r="AM91" s="5">
        <f>COUNTIFS(   D4:D1440,"Física Atómica, Molecular y Nuclear",I4:I1440,"Sí")</f>
        <v>2</v>
      </c>
      <c r="AN91" s="5">
        <f>COUNTIFS(   D4:D1440,"Física Atómica, Molecular y Nuclear",I4:I1440,"No")</f>
        <v>1</v>
      </c>
      <c r="AO91" s="5">
        <f>SUMIFS( E4:E1440, D4:D1440,"Física Atómica, Molecular y Nuclear",I4:I1440,"Sí")</f>
        <v>5</v>
      </c>
      <c r="AP91" s="5">
        <f>SUMIFS( E4:E1440, D4:D1440,"Física Atómica, Molecular y Nuclear",I4:I1440,"No")</f>
        <v>1</v>
      </c>
      <c r="AQ91" s="5">
        <f>COUNTIFS(   D4:D1440,"Física Atómica, Molecular y Nuclear",J4:J1440,"Sí")</f>
        <v>3</v>
      </c>
      <c r="AR91" s="5">
        <f>COUNTIFS(   D4:D1440,"Física Atómica, Molecular y Nuclear",K4:K1440,"Sí")</f>
        <v>0</v>
      </c>
      <c r="AS91" s="5">
        <f>COUNTIFS(   D4:D1440,"Física Atómica, Molecular y Nuclear",L4:L1440,"Sí")</f>
        <v>0</v>
      </c>
      <c r="AT91" s="5">
        <f>SUMIFS( E4:E1440, D4:D1440,"Física Atómica, Molecular y Nuclear")</f>
        <v>6</v>
      </c>
      <c r="AU91" s="5">
        <f>SUMIFS( E4:E1440, F4:F1440,"Hombre", D4:D1440,"Física Atómica, Molecular y Nuclear")</f>
        <v>1</v>
      </c>
      <c r="AV91" s="5">
        <f>SUMIFS( E4:E1440, F4:F1440,"Mujer", D4:D1440,"Física Atómica, Molecular y Nuclear")</f>
        <v>5</v>
      </c>
      <c r="AW91" s="19">
        <f>SUMIFS( E4:E1440, A4:A1440,"2018", D4:D1440,"Física Atómica, Molecular y Nuclear")</f>
        <v>0</v>
      </c>
      <c r="AX91" s="5">
        <f>SUMIFS( E4:E1440, A4:A1440,"2019", D4:D1440,"Física Atómica, Molecular y Nuclear")</f>
        <v>5</v>
      </c>
      <c r="AY91" s="5">
        <f>SUMIFS( E4:E1440, A4:A1440,"2020", D4:D1440,"Física Atómica, Molecular y Nuclear")</f>
        <v>0</v>
      </c>
      <c r="AZ91" s="5">
        <f>SUMIFS( E4:E1440, A4:A1440,"2021", D4:D1440,"Física Atómica, Molecular y Nuclear")</f>
        <v>1</v>
      </c>
      <c r="BA91" s="5">
        <f>SUMIFS( E4:E1440, A4:A1440,"2022", D4:D1440,"Física Atómica, Molecular y Nuclear")</f>
        <v>0</v>
      </c>
      <c r="BB91" s="19">
        <f>SUMIFS( E4:E1440, N4:N1440,"2018", D4:D1440,"Física Atómica, Molecular y Nuclear")</f>
        <v>0</v>
      </c>
      <c r="BC91" s="5">
        <f>SUMIFS( E4:E1440, N4:N1440,"2019", D4:D1440,"Física Atómica, Molecular y Nuclear")</f>
        <v>0</v>
      </c>
      <c r="BD91" s="5">
        <f>SUMIFS( E4:E1440, N4:N1440,"2020", D4:D1440,"Física Atómica, Molecular y Nuclear")</f>
        <v>5</v>
      </c>
      <c r="BE91" s="5">
        <f>SUMIFS( E4:E1440, N4:N1440,"2021", D4:D1440,"Física Atómica, Molecular y Nuclear")</f>
        <v>0</v>
      </c>
      <c r="BF91" s="5">
        <f>SUMIFS( E4:E1440, N4:N1440,"2022", D4:D1440,"Física Atómica, Molecular y Nuclear")</f>
        <v>1</v>
      </c>
      <c r="BG91" s="14">
        <f>AVERAGEIFS( E4:E1440, D4:D1440,"Física Atómica, Molecular y Nuclear")</f>
        <v>3</v>
      </c>
      <c r="BH91" s="14">
        <v>0</v>
      </c>
      <c r="BI91" s="14">
        <v>0</v>
      </c>
      <c r="BJ91" s="14">
        <v>0</v>
      </c>
      <c r="BK91" s="14">
        <v>0</v>
      </c>
      <c r="BL91" s="37" t="e">
        <f>AVERAGEIFS( E4:E1440, A4:A1440,"2022", D4:D1440,"Física Atómica, Molecular y Nuclear")</f>
        <v>#DIV/0!</v>
      </c>
      <c r="BM91" s="14">
        <v>7</v>
      </c>
      <c r="BN91" s="14">
        <v>0</v>
      </c>
      <c r="BO91" s="14">
        <v>0</v>
      </c>
      <c r="BP91" s="14">
        <v>0</v>
      </c>
      <c r="BQ91" s="14">
        <v>0</v>
      </c>
      <c r="BR91" s="14">
        <v>7</v>
      </c>
    </row>
    <row r="92" spans="1:70" ht="15" customHeight="1">
      <c r="A92" s="24">
        <v>2018</v>
      </c>
      <c r="B92" s="24" t="s">
        <v>136</v>
      </c>
      <c r="C92" s="24" t="s">
        <v>137</v>
      </c>
      <c r="D92" s="24" t="s">
        <v>139</v>
      </c>
      <c r="E92" s="23">
        <v>6</v>
      </c>
      <c r="F92" s="24" t="s">
        <v>207</v>
      </c>
      <c r="G92" s="24" t="s">
        <v>225</v>
      </c>
      <c r="H92" s="23" t="s">
        <v>226</v>
      </c>
      <c r="I92" s="24" t="s">
        <v>225</v>
      </c>
      <c r="J92" s="23" t="s">
        <v>226</v>
      </c>
      <c r="K92" s="24" t="s">
        <v>226</v>
      </c>
      <c r="L92" s="23"/>
      <c r="M92" s="25">
        <v>43445</v>
      </c>
      <c r="N92" s="24">
        <v>2018</v>
      </c>
      <c r="O92" s="67" t="s">
        <v>101</v>
      </c>
      <c r="P92" s="68"/>
      <c r="Q92" s="68"/>
      <c r="R92" s="68"/>
      <c r="S92" s="68"/>
      <c r="T92" s="69"/>
      <c r="U92" s="5">
        <f>COUNTIFS(   D4:D1440,"Física de Dispositivos Electrónicos y Semiconductores")</f>
        <v>5</v>
      </c>
      <c r="V92" s="5">
        <f>COUNTIFS(   D4:D1440,"Física de Dispositivos Electrónicos y Semiconductores",F4:F1440,"Hombre")</f>
        <v>4</v>
      </c>
      <c r="W92" s="5">
        <f>COUNTIFS(   D4:D1440,"Física de Dispositivos Electrónicos y Semiconductores",F4:F1440,"Mujer")</f>
        <v>1</v>
      </c>
      <c r="X92" s="19">
        <f>COUNTIFS(   A4:A1440,"2018", D4:D1440,"Física de Dispositivos Electrónicos y Semiconductores")</f>
        <v>1</v>
      </c>
      <c r="Y92" s="5">
        <f>COUNTIFS(   A4:A1440,"2019", D4:D1440,"Física de Dispositivos Electrónicos y Semiconductores")</f>
        <v>1</v>
      </c>
      <c r="Z92" s="5">
        <f>COUNTIFS(   A4:A1440,"2020", D4:D1440,"Física de Dispositivos Electrónicos y Semiconductores")</f>
        <v>3</v>
      </c>
      <c r="AA92" s="5">
        <f>COUNTIFS(   A4:A1440,"2021", D4:D1440,"Física de Dispositivos Electrónicos y Semiconductores")</f>
        <v>0</v>
      </c>
      <c r="AB92" s="5">
        <f>COUNTIFS(  A4:A1440,"2022", D4:D1440,"Física de Dispositivos Electrónicos y Semiconductores")</f>
        <v>0</v>
      </c>
      <c r="AC92" s="19">
        <f>COUNTIFS(   N4:N1440,"2018", D4:D1440,"Física de Dispositivos Electrónicos y Semiconductores")</f>
        <v>0</v>
      </c>
      <c r="AD92" s="5">
        <f>COUNTIFS(   N4:N1440,"2019", D4:D1440,"Física de Dispositivos Electrónicos y Semiconductores")</f>
        <v>1</v>
      </c>
      <c r="AE92" s="5">
        <f>COUNTIFS(   N4:N1440,"2020", D4:D1440,"Física de Dispositivos Electrónicos y Semiconductores")</f>
        <v>1</v>
      </c>
      <c r="AF92" s="5">
        <f>COUNTIFS(   N4:N1440,"2021", D4:D1440,"Física de Dispositivos Electrónicos y Semiconductores")</f>
        <v>3</v>
      </c>
      <c r="AG92" s="5">
        <f>COUNTIFS(   N4:N1440,"2022", D4:D1440,"Física de Dispositivos Electrónicos y Semiconductores")</f>
        <v>0</v>
      </c>
      <c r="AH92" s="5">
        <f>COUNTIFS(   D4:D1440,"Física de Dispositivos Electrónicos y Semiconductores",G4:G1440,"Sí")</f>
        <v>0</v>
      </c>
      <c r="AI92" s="5">
        <f>COUNTIFS(   D4:D1440,"Física de Dispositivos Electrónicos y Semiconductores",G4:G1440,"No")</f>
        <v>5</v>
      </c>
      <c r="AJ92" s="5">
        <f>SUMIFS( E4:E1440, D4:D1440,"Física de Dispositivos Electrónicos y Semiconductores",G4:G1440,"Sí")</f>
        <v>0</v>
      </c>
      <c r="AK92" s="5">
        <f>SUMIFS( E4:E1440, D4:D1440,"Física de Dispositivos Electrónicos y Semiconductores",G4:G1440,"No")</f>
        <v>19</v>
      </c>
      <c r="AL92" s="5">
        <f>COUNTIFS(   D4:D1440,"Física de Dispositivos Electrónicos y Semiconductores",H4:H1440,"Sí")</f>
        <v>4</v>
      </c>
      <c r="AM92" s="5">
        <f>COUNTIFS(   D4:D1440,"Física de Dispositivos Electrónicos y Semiconductores",I4:I1440,"Sí")</f>
        <v>2</v>
      </c>
      <c r="AN92" s="5">
        <f>COUNTIFS(   D4:D1440,"Física de Dispositivos Electrónicos y Semiconductores",I4:I1440,"No")</f>
        <v>3</v>
      </c>
      <c r="AO92" s="5">
        <f>SUMIFS( E4:E1440, D4:D1440,"Física de Dispositivos Electrónicos y Semiconductores",I4:I1440,"Sí")</f>
        <v>2</v>
      </c>
      <c r="AP92" s="5">
        <f>SUMIFS( E4:E1440, D4:D1440,"Física de Dispositivos Electrónicos y Semiconductores",I4:I1440,"No")</f>
        <v>17</v>
      </c>
      <c r="AQ92" s="5">
        <f>COUNTIFS(   D4:D1440,"Física de Dispositivos Electrónicos y Semiconductores",J4:J1440,"Sí")</f>
        <v>5</v>
      </c>
      <c r="AR92" s="5">
        <f>COUNTIFS(   D4:D1440,"Física de Dispositivos Electrónicos y Semiconductores",K4:K1440,"Sí")</f>
        <v>2</v>
      </c>
      <c r="AS92" s="5">
        <f>COUNTIFS(   D4:D1440,"Física de Dispositivos Electrónicos y Semiconductores",L4:L1440,"Sí")</f>
        <v>0</v>
      </c>
      <c r="AT92" s="5">
        <f>SUMIFS( E4:E1440, D4:D1440,"Física de Dispositivos Electrónicos y Semiconductores")</f>
        <v>19</v>
      </c>
      <c r="AU92" s="5">
        <f>SUMIFS( E4:E1440, F4:F1440,"Hombre", D4:D1440,"Física de Dispositivos Electrónicos y Semiconductores")</f>
        <v>16</v>
      </c>
      <c r="AV92" s="5">
        <f>SUMIFS( E4:E1440, F4:F1440,"Mujer", D4:D1440,"Física de Dispositivos Electrónicos y Semiconductores")</f>
        <v>3</v>
      </c>
      <c r="AW92" s="19">
        <f>SUMIFS( E4:E1440, A4:A1440,"2018", D4:D1440,"Física de Dispositivos Electrónicos y Semiconductores")</f>
        <v>0</v>
      </c>
      <c r="AX92" s="5">
        <f>SUMIFS( E4:E1440, A4:A1440,"2019", D4:D1440,"Física de Dispositivos Electrónicos y Semiconductores")</f>
        <v>1</v>
      </c>
      <c r="AY92" s="5">
        <f>SUMIFS( E4:E1440, A4:A1440,"2020", D4:D1440,"Física de Dispositivos Electrónicos y Semiconductores")</f>
        <v>18</v>
      </c>
      <c r="AZ92" s="5">
        <f>SUMIFS( E4:E1440, A4:A1440,"2021", D4:D1440,"Física de Dispositivos Electrónicos y Semiconductores")</f>
        <v>0</v>
      </c>
      <c r="BA92" s="5">
        <f>SUMIFS( E4:E1440, A4:A1440,"2022", D4:D1440,"Física de Dispositivos Electrónicos y Semiconductores")</f>
        <v>0</v>
      </c>
      <c r="BB92" s="19">
        <f>SUMIFS( E4:E1440, N4:N1440,"2018", D4:D1440,"Física de Dispositivos Electrónicos y Semiconductores")</f>
        <v>0</v>
      </c>
      <c r="BC92" s="5">
        <f>SUMIFS( E4:E1440, N4:N1440,"2019", D4:D1440,"Física de Dispositivos Electrónicos y Semiconductores")</f>
        <v>0</v>
      </c>
      <c r="BD92" s="5">
        <f>SUMIFS( E4:E1440, N4:N1440,"2020", D4:D1440,"Física de Dispositivos Electrónicos y Semiconductores")</f>
        <v>1</v>
      </c>
      <c r="BE92" s="5">
        <f>SUMIFS( E4:E1440, N4:N1440,"2021", D4:D1440,"Física de Dispositivos Electrónicos y Semiconductores")</f>
        <v>18</v>
      </c>
      <c r="BF92" s="5">
        <f>SUMIFS( E4:E1440, N4:N1440,"2022", D4:D1440,"Física de Dispositivos Electrónicos y Semiconductores")</f>
        <v>0</v>
      </c>
      <c r="BG92" s="14">
        <f>AVERAGEIFS( E4:E1440, D4:D1440,"Física de Dispositivos Electrónicos y Semiconductores")</f>
        <v>4.75</v>
      </c>
      <c r="BH92" s="14">
        <v>0</v>
      </c>
      <c r="BI92" s="14">
        <v>0</v>
      </c>
      <c r="BJ92" s="14">
        <v>0</v>
      </c>
      <c r="BK92" s="14" t="e">
        <f>AVERAGEIFS( E4:E1440, A4:A1440,"2021", D4:D1440,"Física de Dispositivos Electrónicos y Semiconductores")</f>
        <v>#DIV/0!</v>
      </c>
      <c r="BL92" s="37">
        <v>0</v>
      </c>
      <c r="BM92" s="14">
        <v>16</v>
      </c>
      <c r="BN92" s="14">
        <v>0</v>
      </c>
      <c r="BO92" s="14">
        <v>0</v>
      </c>
      <c r="BP92" s="14">
        <v>0</v>
      </c>
      <c r="BQ92" s="14">
        <v>16</v>
      </c>
      <c r="BR92" s="14">
        <v>0</v>
      </c>
    </row>
    <row r="93" spans="1:70" ht="15" customHeight="1">
      <c r="A93" s="24">
        <v>2018</v>
      </c>
      <c r="B93" s="24" t="s">
        <v>4</v>
      </c>
      <c r="C93" s="24" t="s">
        <v>31</v>
      </c>
      <c r="D93" s="24" t="s">
        <v>34</v>
      </c>
      <c r="E93" s="23">
        <v>14</v>
      </c>
      <c r="F93" s="24" t="s">
        <v>211</v>
      </c>
      <c r="G93" s="24" t="s">
        <v>225</v>
      </c>
      <c r="H93" s="23" t="s">
        <v>226</v>
      </c>
      <c r="I93" s="24" t="s">
        <v>226</v>
      </c>
      <c r="J93" s="23" t="s">
        <v>226</v>
      </c>
      <c r="K93" s="24" t="s">
        <v>226</v>
      </c>
      <c r="L93" s="23"/>
      <c r="M93" s="25">
        <v>43446</v>
      </c>
      <c r="N93" s="24">
        <v>2018</v>
      </c>
      <c r="O93" s="67" t="s">
        <v>100</v>
      </c>
      <c r="P93" s="68"/>
      <c r="Q93" s="68"/>
      <c r="R93" s="68"/>
      <c r="S93" s="68"/>
      <c r="T93" s="69"/>
      <c r="U93" s="5">
        <f>COUNTIFS(   D4:D1440,"Física de Partículas, Astropartículas y Cosmología")</f>
        <v>6</v>
      </c>
      <c r="V93" s="5">
        <f>COUNTIFS(   D4:D1440,"Física de Partículas, Astropartículas y Cosmología",F4:F1440,"Hombre")</f>
        <v>5</v>
      </c>
      <c r="W93" s="5">
        <f>COUNTIFS(   D4:D1440,"Física de Partículas, Astropartículas y Cosmología",F4:F1440,"Mujer")</f>
        <v>1</v>
      </c>
      <c r="X93" s="19">
        <f>COUNTIFS(   A4:A1440,"2018", D4:D1440,"Física de Partículas, Astropartículas y Cosmología")</f>
        <v>1</v>
      </c>
      <c r="Y93" s="5">
        <f>COUNTIFS(   A4:A1440,"2019", D4:D1440,"Física de Partículas, Astropartículas y Cosmología")</f>
        <v>1</v>
      </c>
      <c r="Z93" s="5">
        <f>COUNTIFS(   A4:A1440,"2020", D4:D1440,"Física de Partículas, Astropartículas y Cosmología")</f>
        <v>2</v>
      </c>
      <c r="AA93" s="5">
        <f>COUNTIFS(   A4:A1440,"2021", D4:D1440,"Física de Partículas, Astropartículas y Cosmología")</f>
        <v>2</v>
      </c>
      <c r="AB93" s="5">
        <f>COUNTIFS(  A4:A1440,"2022", D4:D1440,"Física de Partículas, Astropartículas y Cosmología")</f>
        <v>0</v>
      </c>
      <c r="AC93" s="19">
        <f>COUNTIFS(   N4:N1440,"2018", D4:D1440,"Física de Partículas, Astropartículas y Cosmología")</f>
        <v>1</v>
      </c>
      <c r="AD93" s="5">
        <f>COUNTIFS(   N4:N1440,"2019", D4:D1440,"Física de Partículas, Astropartículas y Cosmología")</f>
        <v>1</v>
      </c>
      <c r="AE93" s="5">
        <f>COUNTIFS(   N4:N1440,"2020", D4:D1440,"Física de Partículas, Astropartículas y Cosmología")</f>
        <v>1</v>
      </c>
      <c r="AF93" s="5">
        <f>COUNTIFS(   N4:N1440,"2021", D4:D1440,"Física de Partículas, Astropartículas y Cosmología")</f>
        <v>1</v>
      </c>
      <c r="AG93" s="5">
        <f>COUNTIFS(   N4:N1440,"2022", D4:D1440,"Física de Partículas, Astropartículas y Cosmología")</f>
        <v>2</v>
      </c>
      <c r="AH93" s="5">
        <f>COUNTIFS(   D4:D1440,"Física de Partículas, Astropartículas y Cosmología",G4:G1440,"Sí")</f>
        <v>1</v>
      </c>
      <c r="AI93" s="5">
        <f>COUNTIFS(   D4:D1440,"Física de Partículas, Astropartículas y Cosmología",G4:G1440,"No")</f>
        <v>5</v>
      </c>
      <c r="AJ93" s="5">
        <f>SUMIFS( E4:E1440, D4:D1440,"Física de Partículas, Astropartículas y Cosmología",G4:G1440,"Sí")</f>
        <v>0</v>
      </c>
      <c r="AK93" s="5">
        <f>SUMIFS( E4:E1440, D4:D1440,"Física de Partículas, Astropartículas y Cosmología",G4:G1440,"No")</f>
        <v>42</v>
      </c>
      <c r="AL93" s="5">
        <f>COUNTIFS(   D4:D1440,"Física de Partículas, Astropartículas y Cosmología",H4:H1440,"Sí")</f>
        <v>4</v>
      </c>
      <c r="AM93" s="5">
        <f>COUNTIFS(   D4:D1440,"Física de Partículas, Astropartículas y Cosmología",I4:I1440,"Sí")</f>
        <v>2</v>
      </c>
      <c r="AN93" s="5">
        <f>COUNTIFS(   D4:D1440,"Física de Partículas, Astropartículas y Cosmología",I4:I1440,"No")</f>
        <v>4</v>
      </c>
      <c r="AO93" s="5">
        <f>SUMIFS( E4:E1440, D4:D1440,"Física de Partículas, Astropartículas y Cosmología",I4:I1440,"Sí")</f>
        <v>7</v>
      </c>
      <c r="AP93" s="5">
        <f>SUMIFS( E4:E1440, D4:D1440,"Física de Partículas, Astropartículas y Cosmología",I4:I1440,"No")</f>
        <v>35</v>
      </c>
      <c r="AQ93" s="5">
        <f>COUNTIFS(   D4:D1440,"Física de Partículas, Astropartículas y Cosmología",J4:J1440,"Sí")</f>
        <v>6</v>
      </c>
      <c r="AR93" s="5">
        <f>COUNTIFS(   D4:D1440,"Física de Partículas, Astropartículas y Cosmología",K4:K1440,"Sí")</f>
        <v>2</v>
      </c>
      <c r="AS93" s="5">
        <f>COUNTIFS(   D4:D1440,"Física de Partículas, Astropartículas y Cosmología",L4:L1440,"Sí")</f>
        <v>0</v>
      </c>
      <c r="AT93" s="5">
        <f>SUMIFS( E4:E1440, D4:D1440,"Física de Partículas, Astropartículas y Cosmología")</f>
        <v>42</v>
      </c>
      <c r="AU93" s="5">
        <f>SUMIFS( E4:E1440, F4:F1440,"Hombre", D4:D1440,"Física de Partículas, Astropartículas y Cosmología")</f>
        <v>42</v>
      </c>
      <c r="AV93" s="5">
        <f>SUMIFS( E4:E1440, F4:F1440,"Mujer", D4:D1440,"Física de Partículas, Astropartículas y Cosmología")</f>
        <v>0</v>
      </c>
      <c r="AW93" s="19">
        <f>SUMIFS( E4:E1440, A4:A1440,"2018", D4:D1440,"Física de Partículas, Astropartículas y Cosmología")</f>
        <v>2</v>
      </c>
      <c r="AX93" s="5">
        <f>SUMIFS( E4:E1440, A4:A1440,"2019", D4:D1440,"Física de Partículas, Astropartículas y Cosmología")</f>
        <v>5</v>
      </c>
      <c r="AY93" s="5">
        <f>SUMIFS( E4:E1440, A4:A1440,"2020", D4:D1440,"Física de Partículas, Astropartículas y Cosmología")</f>
        <v>2</v>
      </c>
      <c r="AZ93" s="5">
        <f>SUMIFS( E4:E1440, A4:A1440,"2021", D4:D1440,"Física de Partículas, Astropartículas y Cosmología")</f>
        <v>33</v>
      </c>
      <c r="BA93" s="5">
        <f>SUMIFS( E4:E1440, A4:A1440,"2022", D4:D1440,"Física de Partículas, Astropartículas y Cosmología")</f>
        <v>0</v>
      </c>
      <c r="BB93" s="19">
        <f>SUMIFS( E4:E1440, N4:N1440,"2018", D4:D1440,"Física de Partículas, Astropartículas y Cosmología")</f>
        <v>2</v>
      </c>
      <c r="BC93" s="5">
        <f>SUMIFS( E4:E1440, N4:N1440,"2019", D4:D1440,"Física de Partículas, Astropartículas y Cosmología")</f>
        <v>5</v>
      </c>
      <c r="BD93" s="5">
        <f>SUMIFS( E4:E1440, N4:N1440,"2020", D4:D1440,"Física de Partículas, Astropartículas y Cosmología")</f>
        <v>2</v>
      </c>
      <c r="BE93" s="5">
        <f>SUMIFS( E4:E1440, N4:N1440,"2021", D4:D1440,"Física de Partículas, Astropartículas y Cosmología")</f>
        <v>0</v>
      </c>
      <c r="BF93" s="5">
        <f>SUMIFS( E4:E1440, N4:N1440,"2022", D4:D1440,"Física de Partículas, Astropartículas y Cosmología")</f>
        <v>33</v>
      </c>
      <c r="BG93" s="14">
        <f>AVERAGEIFS( E4:E1440, D4:D1440,"Física de Partículas, Astropartículas y Cosmología")</f>
        <v>10.5</v>
      </c>
      <c r="BH93" s="14">
        <v>0</v>
      </c>
      <c r="BI93" s="14">
        <f>AVERAGEIFS( E4:E1440, A4:A1440,"2019", D4:D1440,"Física de Partículas, Astropartículas y Cosmología")</f>
        <v>5</v>
      </c>
      <c r="BJ93" s="14">
        <f>AVERAGEIFS( E4:E1440, A4:A1440,"2020", D4:D1440,"Física de Partículas, Astropartículas y Cosmología")</f>
        <v>2</v>
      </c>
      <c r="BK93" s="14">
        <f>AVERAGEIFS( E4:E1440, A4:A1440,"2021", D4:D1440,"Física de Partículas, Astropartículas y Cosmología")</f>
        <v>33</v>
      </c>
      <c r="BL93" s="37">
        <v>0</v>
      </c>
      <c r="BM93" s="14">
        <v>6.666666666666667</v>
      </c>
      <c r="BN93" s="14">
        <v>0</v>
      </c>
      <c r="BO93" s="14">
        <v>8</v>
      </c>
      <c r="BP93" s="14">
        <v>6</v>
      </c>
      <c r="BQ93" s="14">
        <v>6</v>
      </c>
      <c r="BR93" s="14">
        <v>0</v>
      </c>
    </row>
    <row r="94" spans="1:70" ht="15" customHeight="1">
      <c r="A94" s="24">
        <v>2018</v>
      </c>
      <c r="B94" s="24" t="s">
        <v>136</v>
      </c>
      <c r="C94" s="24" t="s">
        <v>137</v>
      </c>
      <c r="D94" s="24" t="s">
        <v>145</v>
      </c>
      <c r="E94" s="23">
        <v>4</v>
      </c>
      <c r="F94" s="24" t="s">
        <v>207</v>
      </c>
      <c r="G94" s="24" t="s">
        <v>225</v>
      </c>
      <c r="H94" s="23" t="s">
        <v>226</v>
      </c>
      <c r="I94" s="24" t="s">
        <v>226</v>
      </c>
      <c r="J94" s="23" t="s">
        <v>226</v>
      </c>
      <c r="K94" s="24" t="s">
        <v>226</v>
      </c>
      <c r="L94" s="23"/>
      <c r="M94" s="25">
        <v>43446</v>
      </c>
      <c r="N94" s="24">
        <v>2018</v>
      </c>
      <c r="O94" s="51" t="s">
        <v>363</v>
      </c>
      <c r="P94" s="52"/>
      <c r="Q94" s="52"/>
      <c r="R94" s="52"/>
      <c r="S94" s="52"/>
      <c r="T94" s="53"/>
      <c r="U94" s="5">
        <f>COUNTIFS(   D3:D1439,"Nucleosíntesis y Evolución Química de Galaxias")</f>
        <v>1</v>
      </c>
      <c r="V94" s="5">
        <f>COUNTIFS(   D3:D1439,"Nucleosíntesis y Evolución Química de Galaxias",F3:F1439,"Hombre")</f>
        <v>0</v>
      </c>
      <c r="W94" s="5">
        <f>COUNTIFS(   D3:D1439,"Nucleosíntesis y Evolución Química de Galaxias",F3:F1439,"Mujer")</f>
        <v>1</v>
      </c>
      <c r="X94" s="19">
        <f>COUNTIFS(   A3:A1439,"2018", D3:D1439,"Nucleosíntesis y Evolución Química de Galaxias")</f>
        <v>1</v>
      </c>
      <c r="Y94" s="5">
        <f>COUNTIFS(   A3:A1439,"2019", D3:D1439,"Nucleosíntesis y Evolución Química de Galaxias")</f>
        <v>0</v>
      </c>
      <c r="Z94" s="5">
        <f>COUNTIFS(   A3:A1439,"2020", D3:D1439,"Nucleosíntesis y Evolución Química de Galaxias")</f>
        <v>0</v>
      </c>
      <c r="AA94" s="5">
        <f>COUNTIFS(   A3:A1439,"2021", D3:D1439,"Nucleosíntesis y Evolución Química de Galaxias")</f>
        <v>0</v>
      </c>
      <c r="AB94" s="5">
        <f>COUNTIFS(  A3:A1439,"2022", D3:D1439,"Nucleosíntesis y Evolución Química de Galaxias")</f>
        <v>0</v>
      </c>
      <c r="AC94" s="19">
        <f>COUNTIFS(   N3:N1439,"2018", D3:D1439,"Nucleosíntesis y Evolución Química de Galaxias")</f>
        <v>0</v>
      </c>
      <c r="AD94" s="5">
        <f>COUNTIFS(   N3:N1439,"2019", D3:D1439,"Nucleosíntesis y Evolución Química de Galaxias")</f>
        <v>1</v>
      </c>
      <c r="AE94" s="5">
        <f>COUNTIFS(   N3:N1439,"2020", D3:D1439,"Nucleosíntesis y Evolución Química de Galaxias")</f>
        <v>0</v>
      </c>
      <c r="AF94" s="5">
        <f>COUNTIFS(   N3:N1439,"2021", D3:D1439,"Nucleosíntesis y Evolución Química de Galaxias")</f>
        <v>0</v>
      </c>
      <c r="AG94" s="5">
        <f>COUNTIFS(   N3:N1439,"2022", D3:D1439,"Nucleosíntesis y Evolución Química de Galaxias")</f>
        <v>0</v>
      </c>
      <c r="AH94" s="5">
        <f>COUNTIFS(   D3:D1439,"Nucleosíntesis y Evolución Química de Galaxias",G3:G1439,"Sí")</f>
        <v>0</v>
      </c>
      <c r="AI94" s="5">
        <f>COUNTIFS(   D3:D1439,"Nucleosíntesis y Evolución Química de Galaxias",G3:G1439,"No")</f>
        <v>1</v>
      </c>
      <c r="AJ94" s="5">
        <f>SUMIFS( E3:E1439, D3:D1439,"Nucleosíntesis y Evolución Química de Galaxias",G3:G1439,"Sí")</f>
        <v>0</v>
      </c>
      <c r="AK94" s="5">
        <f>SUMIFS( E3:E1439, D3:D1439,"Nucleosíntesis y Evolución Química de Galaxias",G3:G1439,"No")</f>
        <v>18</v>
      </c>
      <c r="AL94" s="5">
        <f>COUNTIFS(   D3:D1439,"Nucleosíntesis y Evolución Química de Galaxias",H3:H1439,"Sí")</f>
        <v>1</v>
      </c>
      <c r="AM94" s="5">
        <f>COUNTIFS(   D3:D1439,"Nucleosíntesis y Evolución Química de Galaxias",I3:I1439,"Sí")</f>
        <v>1</v>
      </c>
      <c r="AN94" s="5">
        <f>COUNTIFS(   D3:D1439,"Nucleosíntesis y Evolución Química de Galaxias",I3:I1439,"No")</f>
        <v>0</v>
      </c>
      <c r="AO94" s="5">
        <f>SUMIFS( E3:E1439, D3:D1439,"Nucleosíntesis y Evolución Química de Galaxias",I3:I1439,"Sí")</f>
        <v>18</v>
      </c>
      <c r="AP94" s="5">
        <f>SUMIFS( E3:E1439, D3:D1439,"Nucleosíntesis y Evolución Química de Galaxias",I3:I1439,"No")</f>
        <v>0</v>
      </c>
      <c r="AQ94" s="5">
        <f>COUNTIFS(   D3:D1439,"Nucleosíntesis y Evolución Química de Galaxias",J3:J1439,"Sí")</f>
        <v>1</v>
      </c>
      <c r="AR94" s="5">
        <f>COUNTIFS(   D3:D1439,"Nucleosíntesis y Evolución Química de Galaxias",K3:K1439,"Sí")</f>
        <v>1</v>
      </c>
      <c r="AS94" s="5">
        <f>COUNTIFS(   D3:D1439,"Nucleosíntesis y Evolución Química de Galaxias",L3:L1439,"Sí")</f>
        <v>0</v>
      </c>
      <c r="AT94" s="5">
        <f>SUMIFS( E3:E1439, D3:D1439,"Nucleosíntesis y Evolución Química de Galaxias")</f>
        <v>18</v>
      </c>
      <c r="AU94" s="5">
        <f>SUMIFS( E3:E1439, F3:F1439,"Hombre", D3:D1439,"Nucleosíntesis y Evolución Química de Galaxias")</f>
        <v>0</v>
      </c>
      <c r="AV94" s="5">
        <f>SUMIFS( E3:E1439, F3:F1439,"Mujer", D3:D1439,"Nucleosíntesis y Evolución Química de Galaxias")</f>
        <v>18</v>
      </c>
      <c r="AW94" s="19">
        <f>SUMIFS( E3:E1439, A3:A1439,"2018", D3:D1439,"Nucleosíntesis y Evolución Química de Galaxias")</f>
        <v>18</v>
      </c>
      <c r="AX94" s="5">
        <f>SUMIFS( E3:E1439, A3:A1439,"2019", D3:D1439,"Nucleosíntesis y Evolución Química de Galaxias")</f>
        <v>0</v>
      </c>
      <c r="AY94" s="5">
        <f>SUMIFS( E3:E1439, A3:A1439,"2020", D3:D1439,"Nucleosíntesis y Evolución Química de Galaxias")</f>
        <v>0</v>
      </c>
      <c r="AZ94" s="5">
        <f>SUMIFS( E3:E1439, A3:A1439,"2021", D3:D1439,"Nucleosíntesis y Evolución Química de Galaxias")</f>
        <v>0</v>
      </c>
      <c r="BA94" s="5">
        <f>SUMIFS( E3:E1439, A3:A1439,"2022", D3:D1439,"Nucleosíntesis y Evolución Química de Galaxias")</f>
        <v>0</v>
      </c>
      <c r="BB94" s="19">
        <f>SUMIFS( E3:E1439, N3:N1439,"2018", D3:D1439,"Nucleosíntesis y Evolución Química de Galaxias")</f>
        <v>0</v>
      </c>
      <c r="BC94" s="5">
        <f>SUMIFS( E3:E1439, N3:N1439,"2019", D3:D1439,"Nucleosíntesis y Evolución Química de Galaxias")</f>
        <v>18</v>
      </c>
      <c r="BD94" s="5">
        <f>SUMIFS( E3:E1439, N3:N1439,"2020", D3:D1439,"Nucleosíntesis y Evolución Química de Galaxias")</f>
        <v>0</v>
      </c>
      <c r="BE94" s="5">
        <f>SUMIFS( E3:E1439, N3:N1439,"2021", D3:D1439,"Nucleosíntesis y Evolución Química de Galaxias")</f>
        <v>0</v>
      </c>
      <c r="BF94" s="5">
        <f>SUMIFS( E3:E1439, N3:N1439,"2022", D3:D1439,"Nucleosíntesis y Evolución Química de Galaxias")</f>
        <v>0</v>
      </c>
      <c r="BG94" s="14">
        <f>AVERAGEIFS( E3:E1439, D3:D1439,"Nucleosíntesis y Evolución Química de Galaxias")</f>
        <v>18</v>
      </c>
      <c r="BH94" s="14"/>
      <c r="BI94" s="14"/>
      <c r="BJ94" s="14"/>
      <c r="BK94" s="14"/>
      <c r="BL94" s="37"/>
      <c r="BM94" s="14"/>
      <c r="BN94" s="14"/>
      <c r="BO94" s="14"/>
      <c r="BP94" s="14"/>
      <c r="BQ94" s="14"/>
      <c r="BR94" s="14"/>
    </row>
    <row r="95" spans="1:70" ht="15" customHeight="1">
      <c r="A95" s="24">
        <v>2018</v>
      </c>
      <c r="B95" s="24" t="s">
        <v>78</v>
      </c>
      <c r="C95" s="24" t="s">
        <v>95</v>
      </c>
      <c r="D95" s="24" t="s">
        <v>102</v>
      </c>
      <c r="E95" s="23">
        <v>3</v>
      </c>
      <c r="F95" s="24" t="s">
        <v>211</v>
      </c>
      <c r="G95" s="24" t="s">
        <v>225</v>
      </c>
      <c r="H95" s="23" t="s">
        <v>226</v>
      </c>
      <c r="I95" s="24" t="s">
        <v>225</v>
      </c>
      <c r="J95" s="23" t="s">
        <v>226</v>
      </c>
      <c r="K95" s="24" t="s">
        <v>226</v>
      </c>
      <c r="L95" s="23"/>
      <c r="M95" s="25">
        <v>43446</v>
      </c>
      <c r="N95" s="24">
        <v>2018</v>
      </c>
      <c r="O95" s="67" t="s">
        <v>102</v>
      </c>
      <c r="P95" s="68"/>
      <c r="Q95" s="68"/>
      <c r="R95" s="68"/>
      <c r="S95" s="68"/>
      <c r="T95" s="69"/>
      <c r="U95" s="5">
        <f>COUNTIFS(   D4:D1440,"Óptica")</f>
        <v>7</v>
      </c>
      <c r="V95" s="5">
        <f>COUNTIFS(   D4:D1440,"Óptica",F4:F1440,"Hombre")</f>
        <v>3</v>
      </c>
      <c r="W95" s="5">
        <f>COUNTIFS(   D4:D1440,"Óptica",F4:F1440,"Mujer")</f>
        <v>4</v>
      </c>
      <c r="X95" s="19">
        <f>COUNTIFS(   A4:A1440,"2018", D4:D1440,"Óptica")</f>
        <v>1</v>
      </c>
      <c r="Y95" s="5">
        <f>COUNTIFS(   A4:A1440,"2019", D4:D1440,"Óptica")</f>
        <v>2</v>
      </c>
      <c r="Z95" s="5">
        <f>COUNTIFS(   A4:A1440,"2020", D4:D1440,"Óptica")</f>
        <v>3</v>
      </c>
      <c r="AA95" s="5">
        <f>COUNTIFS(   A4:A1440,"2021", D4:D1440,"Óptica")</f>
        <v>1</v>
      </c>
      <c r="AB95" s="5">
        <f>COUNTIFS(  A4:A1440,"2022", D4:D1440,"Óptica")</f>
        <v>0</v>
      </c>
      <c r="AC95" s="19">
        <f>COUNTIFS(   N4:N1440,"2018", D4:D1440,"Óptica")</f>
        <v>1</v>
      </c>
      <c r="AD95" s="5">
        <f>COUNTIFS(   N4:N1440,"2019", D4:D1440,"Óptica")</f>
        <v>1</v>
      </c>
      <c r="AE95" s="5">
        <f>COUNTIFS(   N4:N1440,"2020", D4:D1440,"Óptica")</f>
        <v>1</v>
      </c>
      <c r="AF95" s="5">
        <f>COUNTIFS(   N4:N1440,"2021", D4:D1440,"Óptica")</f>
        <v>4</v>
      </c>
      <c r="AG95" s="5">
        <f>COUNTIFS(   N4:N1440,"2022", D4:D1440,"Óptica")</f>
        <v>0</v>
      </c>
      <c r="AH95" s="5">
        <f>COUNTIFS(   D4:D1440,"Óptica",G4:G1440,"Sí")</f>
        <v>0</v>
      </c>
      <c r="AI95" s="5">
        <f>COUNTIFS(   D4:D1440,"Óptica",G4:G1440,"No")</f>
        <v>7</v>
      </c>
      <c r="AJ95" s="5">
        <f>SUMIFS( E4:E1440, D4:D1440,"Óptica",G4:G1440,"Sí")</f>
        <v>0</v>
      </c>
      <c r="AK95" s="5">
        <f>SUMIFS( E4:E1440, D4:D1440,"Óptica",G4:G1440,"No")</f>
        <v>74</v>
      </c>
      <c r="AL95" s="5">
        <f>COUNTIFS(   D4:D1440,"Óptica",H4:H1440,"Sí")</f>
        <v>6</v>
      </c>
      <c r="AM95" s="5">
        <f>COUNTIFS(   D4:D1440,"Óptica",I4:I1440,"Sí")</f>
        <v>4</v>
      </c>
      <c r="AN95" s="5">
        <f>COUNTIFS(   D4:D1440,"Óptica",I4:I1440,"No")</f>
        <v>3</v>
      </c>
      <c r="AO95" s="5">
        <f>SUMIFS( E4:E1440, D4:D1440,"Óptica",I4:I1440,"Sí")</f>
        <v>49</v>
      </c>
      <c r="AP95" s="5">
        <f>SUMIFS( E4:E1440, D4:D1440,"Óptica",I4:I1440,"No")</f>
        <v>25</v>
      </c>
      <c r="AQ95" s="5">
        <f>COUNTIFS(   D4:D1440,"Óptica",J4:J1440,"Sí")</f>
        <v>7</v>
      </c>
      <c r="AR95" s="5">
        <f>COUNTIFS(   D4:D1440,"Óptica",K4:K1440,"Sí")</f>
        <v>2</v>
      </c>
      <c r="AS95" s="5">
        <f>COUNTIFS(   D4:D1440,"Óptica",L4:L1440,"Sí")</f>
        <v>0</v>
      </c>
      <c r="AT95" s="5">
        <f>SUMIFS( E4:E1440, D4:D1440,"Óptica")</f>
        <v>74</v>
      </c>
      <c r="AU95" s="5">
        <f>SUMIFS( E4:E1440, F4:F1440,"Hombre", D4:D1440,"Óptica")</f>
        <v>39</v>
      </c>
      <c r="AV95" s="5">
        <f>SUMIFS( E4:E1440, F4:F1440,"Mujer", D4:D1440,"Óptica")</f>
        <v>35</v>
      </c>
      <c r="AW95" s="19">
        <f>SUMIFS( E4:E1440, A4:A1440,"2018", D4:D1440,"Óptica")</f>
        <v>3</v>
      </c>
      <c r="AX95" s="5">
        <f>SUMIFS( E4:E1440, A4:A1440,"2019", D4:D1440,"Óptica")</f>
        <v>12</v>
      </c>
      <c r="AY95" s="5">
        <f>SUMIFS( E4:E1440, A4:A1440,"2020", D4:D1440,"Óptica")</f>
        <v>43</v>
      </c>
      <c r="AZ95" s="5">
        <f>SUMIFS( E4:E1440, A4:A1440,"2021", D4:D1440,"Óptica")</f>
        <v>16</v>
      </c>
      <c r="BA95" s="5">
        <f>SUMIFS( E4:E1440, A4:A1440,"2022", D4:D1440,"Óptica")</f>
        <v>0</v>
      </c>
      <c r="BB95" s="19">
        <f>SUMIFS( E4:E1440, N4:N1440,"2018", D4:D1440,"Óptica")</f>
        <v>3</v>
      </c>
      <c r="BC95" s="5">
        <f>SUMIFS( E4:E1440, N4:N1440,"2019", D4:D1440,"Óptica")</f>
        <v>0</v>
      </c>
      <c r="BD95" s="5">
        <f>SUMIFS( E4:E1440, N4:N1440,"2020", D4:D1440,"Óptica")</f>
        <v>12</v>
      </c>
      <c r="BE95" s="5">
        <f>SUMIFS( E4:E1440, N4:N1440,"2021", D4:D1440,"Óptica")</f>
        <v>59</v>
      </c>
      <c r="BF95" s="5">
        <f>SUMIFS( E4:E1440, N4:N1440,"2022", D4:D1440,"Óptica")</f>
        <v>0</v>
      </c>
      <c r="BG95" s="14">
        <f>AVERAGEIFS( E4:E1440, D4:D1440,"Óptica")</f>
        <v>12.333333333333334</v>
      </c>
      <c r="BH95" s="14">
        <v>0</v>
      </c>
      <c r="BI95" s="14">
        <v>0</v>
      </c>
      <c r="BJ95" s="14">
        <f>AVERAGEIFS( E4:E1440, A4:A1440,"2020", D4:D1440,"Óptica")</f>
        <v>14.333333333333334</v>
      </c>
      <c r="BK95" s="14">
        <f>AVERAGEIFS( E4:E1440, A4:A1440,"2021", D4:D1440,"Óptica")</f>
        <v>16</v>
      </c>
      <c r="BL95" s="37">
        <v>0</v>
      </c>
      <c r="BM95" s="14">
        <v>11</v>
      </c>
      <c r="BN95" s="14">
        <v>0</v>
      </c>
      <c r="BO95" s="14">
        <v>0</v>
      </c>
      <c r="BP95" s="14">
        <v>5</v>
      </c>
      <c r="BQ95" s="14">
        <v>17</v>
      </c>
      <c r="BR95" s="14">
        <v>0</v>
      </c>
    </row>
    <row r="96" spans="1:70" ht="15" customHeight="1">
      <c r="A96" s="24">
        <v>2018</v>
      </c>
      <c r="B96" s="24" t="s">
        <v>4</v>
      </c>
      <c r="C96" s="24" t="s">
        <v>5</v>
      </c>
      <c r="D96" s="24" t="s">
        <v>6</v>
      </c>
      <c r="E96" s="28">
        <v>3</v>
      </c>
      <c r="F96" s="24" t="s">
        <v>207</v>
      </c>
      <c r="G96" s="24" t="s">
        <v>225</v>
      </c>
      <c r="H96" s="23" t="s">
        <v>226</v>
      </c>
      <c r="I96" s="24" t="s">
        <v>225</v>
      </c>
      <c r="J96" s="23" t="s">
        <v>226</v>
      </c>
      <c r="K96" s="24" t="s">
        <v>226</v>
      </c>
      <c r="L96" s="23"/>
      <c r="M96" s="26" t="s">
        <v>286</v>
      </c>
      <c r="N96" s="24">
        <v>2018</v>
      </c>
      <c r="O96" s="40" t="s">
        <v>64</v>
      </c>
      <c r="P96" s="41"/>
      <c r="Q96" s="41"/>
      <c r="R96" s="41"/>
      <c r="S96" s="41"/>
      <c r="T96" s="42"/>
      <c r="U96" s="4">
        <f>COUNTIFS(   C4:C1440,"Física y Matemáticas")</f>
        <v>26</v>
      </c>
      <c r="V96" s="4">
        <f>COUNTIFS(   C4:C1440,"Física y Matemáticas",F4:F1440,"Hombre")</f>
        <v>18</v>
      </c>
      <c r="W96" s="4">
        <f>COUNTIFS(   C4:C1440,"Física y Matemáticas",F4:F1440,"Mujer")</f>
        <v>8</v>
      </c>
      <c r="X96" s="18">
        <f>COUNTIFS(   A4:A1440,"2018", C4:C1440,"Física y Matemáticas")</f>
        <v>5</v>
      </c>
      <c r="Y96" s="4">
        <f>COUNTIFS(   A4:A1440,"2019", C4:C1440,"Física y Matemáticas")</f>
        <v>6</v>
      </c>
      <c r="Z96" s="4">
        <f>COUNTIFS(   A4:A1440,"2020", C4:C1440,"Física y Matemáticas")</f>
        <v>14</v>
      </c>
      <c r="AA96" s="4">
        <f>COUNTIFS(   A4:A1440,"2021", C4:C1440,"Física y Matemáticas")</f>
        <v>1</v>
      </c>
      <c r="AB96" s="4">
        <f>COUNTIFS(   A4:A1440,"2022", C4:C1440,"Física y Matemáticas")</f>
        <v>0</v>
      </c>
      <c r="AC96" s="18">
        <f>COUNTIFS(   N4:N1440,"2018", C4:C1440,"Física y Matemáticas")</f>
        <v>0</v>
      </c>
      <c r="AD96" s="4">
        <f>COUNTIFS(   N4:N1440,"2019", C4:C1440,"Física y Matemáticas")</f>
        <v>8</v>
      </c>
      <c r="AE96" s="4">
        <f>COUNTIFS(   N4:N1440,"2020", C4:C1440,"Física y Matemáticas")</f>
        <v>7</v>
      </c>
      <c r="AF96" s="4">
        <f>COUNTIFS(   N4:N1440,"2021", C4:C1440,"Física y Matemáticas")</f>
        <v>11</v>
      </c>
      <c r="AG96" s="4">
        <f>COUNTIFS(   N4:N1440,"2022", C4:C1440,"Física y Matemáticas")</f>
        <v>0</v>
      </c>
      <c r="AH96" s="4">
        <f>COUNTIFS(   C4:C1440,"Física y Matemáticas",G4:G1440,"Sí")</f>
        <v>7</v>
      </c>
      <c r="AI96" s="4">
        <f>COUNTIFS(   C4:C1440,"Física y Matemáticas",G4:G1440,"No")</f>
        <v>19</v>
      </c>
      <c r="AJ96" s="4">
        <f>SUMIFS( E4:E1440, C4:C1440,"Física y Matemáticas",G4:G1440,"Sí")</f>
        <v>33</v>
      </c>
      <c r="AK96" s="4">
        <f>SUMIFS( E4:E1440, C4:C1440,"Física y Matemáticas",G4:G1440,"No")</f>
        <v>109</v>
      </c>
      <c r="AL96" s="4">
        <f>COUNTIFS(   C4:C1440,"Física y Matemáticas",H4:H1440,"Sí")</f>
        <v>17</v>
      </c>
      <c r="AM96" s="4">
        <f>COUNTIFS(   C4:C1440,"Física y Matemáticas",I4:I1440,"Sí")</f>
        <v>16</v>
      </c>
      <c r="AN96" s="4">
        <f>COUNTIFS(   C4:C1440,"Física y Matemáticas",I4:I1440,"No")</f>
        <v>10</v>
      </c>
      <c r="AO96" s="4">
        <f>SUMIFS( E4:E1440, C4:C1440,"Física y Matemáticas",I4:I1440,"Sí")</f>
        <v>88</v>
      </c>
      <c r="AP96" s="4">
        <f>SUMIFS( E4:E1440, C4:C1440,"Física y Matemáticas",I4:I1440,"No")</f>
        <v>54</v>
      </c>
      <c r="AQ96" s="4">
        <f>COUNTIFS(   C4:C1440,"Física y Matemáticas",J4:J1440,"Sí")</f>
        <v>26</v>
      </c>
      <c r="AR96" s="4">
        <f>COUNTIFS(   C4:C1440,"Física y Matemáticas",K4:K1440,"Sí")</f>
        <v>8</v>
      </c>
      <c r="AS96" s="4">
        <f>COUNTIFS(   C4:C1440,"Física y Matemáticas",L4:L1440,"Sí")</f>
        <v>0</v>
      </c>
      <c r="AT96" s="4">
        <f>SUMIFS( E4:E1440, C4:C1440,"Física y Matemáticas")</f>
        <v>142</v>
      </c>
      <c r="AU96" s="4">
        <f>SUMIFS( E4:E1440, F4:F1440,"Hombre", C4:C1440,"Física y Matemáticas")</f>
        <v>125</v>
      </c>
      <c r="AV96" s="4">
        <f>SUMIFS( E4:E1440, F4:F1440,"Mujer", C4:C1440,"Física y Matemáticas")</f>
        <v>17</v>
      </c>
      <c r="AW96" s="18">
        <f>SUMIFS( E4:E1440, A4:A1440,"2018", C4:C1440,"Física y Matemáticas")</f>
        <v>4</v>
      </c>
      <c r="AX96" s="4">
        <f>SUMIFS( E4:E1440, A4:A1440,"2019", C4:C1440,"Física y Matemáticas")</f>
        <v>41</v>
      </c>
      <c r="AY96" s="4">
        <f>SUMIFS( E4:E1440, A4:A1440,"2020", C4:C1440,"Física y Matemáticas")</f>
        <v>85</v>
      </c>
      <c r="AZ96" s="4">
        <f>SUMIFS( E4:E1440, A4:A1440,"2021", C4:C1440,"Física y Matemáticas")</f>
        <v>12</v>
      </c>
      <c r="BA96" s="4">
        <f>SUMIFS( E4:E1440, A4:A1440,"2022", C4:C1440,"Física y Matemáticas")</f>
        <v>0</v>
      </c>
      <c r="BB96" s="18">
        <f>SUMIFS( E4:E1440, N4:N1440,"2018", C4:C1440,"Física y Matemáticas")</f>
        <v>0</v>
      </c>
      <c r="BC96" s="4">
        <f>SUMIFS( E4:E1440, N4:N1440,"2019", C4:C1440,"Física y Matemáticas")</f>
        <v>34</v>
      </c>
      <c r="BD96" s="4">
        <f>SUMIFS( E4:E1440, N4:N1440,"2020", C4:C1440,"Física y Matemáticas")</f>
        <v>28</v>
      </c>
      <c r="BE96" s="4">
        <f>SUMIFS( E4:E1440, N4:N1440,"2021", C4:C1440,"Física y Matemáticas")</f>
        <v>80</v>
      </c>
      <c r="BF96" s="4">
        <f>SUMIFS( E4:E1440, N4:N1440,"2022", C4:C1440,"Física y Matemáticas")</f>
        <v>0</v>
      </c>
      <c r="BG96" s="13">
        <f>AVERAGEIFS( E4:E1440, C4:C1440,"Física y Matemáticas")</f>
        <v>7.4736842105263159</v>
      </c>
      <c r="BH96" s="13">
        <v>0</v>
      </c>
      <c r="BI96" s="13">
        <v>0</v>
      </c>
      <c r="BJ96" s="13">
        <f>AVERAGEIFS( E4:E1440, A4:A1440,"2020", C4:C1440,"Física y Matemáticas")</f>
        <v>6.5384615384615383</v>
      </c>
      <c r="BK96" s="13">
        <f>AVERAGEIFS( E4:E1440, A4:A1440,"2021", C4:C1440,"Física y Matemáticas")</f>
        <v>12</v>
      </c>
      <c r="BL96" s="37" t="e">
        <f>AVERAGEIFS( E4:E1440, A4:A1440,"2022", C4:C1440,"Física y Matemáticas")</f>
        <v>#DIV/0!</v>
      </c>
      <c r="BM96" s="13">
        <f>AVERAGE(AT97:AT109)</f>
        <v>10.23076923076923</v>
      </c>
      <c r="BN96" s="13">
        <v>0</v>
      </c>
      <c r="BO96" s="13">
        <v>0</v>
      </c>
      <c r="BP96" s="13">
        <f>AVERAGE(AY97:AY109)</f>
        <v>5.6923076923076925</v>
      </c>
      <c r="BQ96" s="13">
        <f>AVERAGE(AZ97:AZ109)</f>
        <v>0.92307692307692313</v>
      </c>
      <c r="BR96" s="13">
        <f>AVERAGE(BA97:BA109)</f>
        <v>0</v>
      </c>
    </row>
    <row r="97" spans="1:70" ht="15" customHeight="1">
      <c r="A97" s="24">
        <v>2018</v>
      </c>
      <c r="B97" s="24" t="s">
        <v>136</v>
      </c>
      <c r="C97" s="24" t="s">
        <v>189</v>
      </c>
      <c r="D97" s="24" t="s">
        <v>259</v>
      </c>
      <c r="E97" s="23">
        <v>1</v>
      </c>
      <c r="F97" s="24" t="s">
        <v>207</v>
      </c>
      <c r="G97" s="24" t="s">
        <v>225</v>
      </c>
      <c r="H97" s="23" t="s">
        <v>226</v>
      </c>
      <c r="I97" s="24" t="s">
        <v>226</v>
      </c>
      <c r="J97" s="23" t="s">
        <v>226</v>
      </c>
      <c r="K97" s="24" t="s">
        <v>226</v>
      </c>
      <c r="L97" s="23"/>
      <c r="M97" s="26" t="s">
        <v>286</v>
      </c>
      <c r="N97" s="24">
        <v>2018</v>
      </c>
      <c r="O97" s="67" t="s">
        <v>111</v>
      </c>
      <c r="P97" s="68"/>
      <c r="Q97" s="68"/>
      <c r="R97" s="68"/>
      <c r="S97" s="68"/>
      <c r="T97" s="69"/>
      <c r="U97" s="5">
        <f>COUNTIFS(   D4:D1440,"Astrofísica estelar. Evolución estelar. Supernovas")</f>
        <v>2</v>
      </c>
      <c r="V97" s="5">
        <f>COUNTIFS(   D4:D1440,"Astrofísica estelar. Evolución estelar. Supernovas",F4:F1440,"Hombre")</f>
        <v>0</v>
      </c>
      <c r="W97" s="5">
        <f>COUNTIFS(   D4:D1440,"Astrofísica estelar. Evolución estelar. Supernovas",F4:F1440,"Mujer")</f>
        <v>2</v>
      </c>
      <c r="X97" s="19">
        <f>COUNTIFS(   A4:A1440,"2018", D4:D1440,"Astrofísica estelar. Evolución estelar. Supernovas")</f>
        <v>0</v>
      </c>
      <c r="Y97" s="5">
        <f>COUNTIFS(   A4:A1440,"2019", D4:D1440,"Astrofísica estelar. Evolución estelar. Supernovas")</f>
        <v>0</v>
      </c>
      <c r="Z97" s="5">
        <f>COUNTIFS(   A4:A1440,"2020", D4:D1440,"Astrofísica estelar. Evolución estelar. Supernovas")</f>
        <v>2</v>
      </c>
      <c r="AA97" s="5">
        <f>COUNTIFS(   A4:A1440,"2021", D4:D1440,"Astrofísica estelar. Evolución estelar. Supernovas")</f>
        <v>0</v>
      </c>
      <c r="AB97" s="5">
        <f>COUNTIFS(  A4:A1440,"2022", D4:D1440,"Astrofísica estelar. Evolución estelar. Supernovas")</f>
        <v>0</v>
      </c>
      <c r="AC97" s="19">
        <f>COUNTIFS(   N4:N1440,"2018", D4:D1440,"Astrofísica estelar. Evolución estelar. Supernovas")</f>
        <v>0</v>
      </c>
      <c r="AD97" s="5">
        <f>COUNTIFS(   N4:N1440,"2019", D4:D1440,"Astrofísica estelar. Evolución estelar. Supernovas")</f>
        <v>0</v>
      </c>
      <c r="AE97" s="5">
        <f>COUNTIFS(   N4:N1440,"2020", D4:D1440,"Astrofísica estelar. Evolución estelar. Supernovas")</f>
        <v>0</v>
      </c>
      <c r="AF97" s="5">
        <f>COUNTIFS(   N4:N1440,"2021", D4:D1440,"Astrofísica estelar. Evolución estelar. Supernovas")</f>
        <v>2</v>
      </c>
      <c r="AG97" s="5">
        <f>COUNTIFS(   N4:N1440,"2022", D4:D1440,"Astrofísica estelar. Evolución estelar. Supernovas")</f>
        <v>0</v>
      </c>
      <c r="AH97" s="5">
        <f>COUNTIFS(   D4:D1440,"Astrofísica estelar. Evolución estelar. Supernovas",G4:G1440,"Sí")</f>
        <v>0</v>
      </c>
      <c r="AI97" s="5">
        <f>COUNTIFS(   D4:D1440,"Astrofísica estelar. Evolución estelar. Supernovas",G4:G1440,"No")</f>
        <v>2</v>
      </c>
      <c r="AJ97" s="5">
        <f>SUMIFS( E4:E1440, D4:D1440,"Astrofísica estelar. Evolución estelar. Supernovas",G4:G1440,"Sí")</f>
        <v>0</v>
      </c>
      <c r="AK97" s="5">
        <f>SUMIFS( E4:E1440, D4:D1440,"Astrofísica estelar. Evolución estelar. Supernovas",G4:G1440,"No")</f>
        <v>7</v>
      </c>
      <c r="AL97" s="5">
        <f>COUNTIFS(   D4:D1440,"Astrofísica estelar. Evolución estelar. Supernovas",H4:H1440,"Sí")</f>
        <v>2</v>
      </c>
      <c r="AM97" s="5">
        <f>COUNTIFS(   D4:D1440,"Astrofísica estelar. Evolución estelar. Supernovas",I4:I1440,"Sí")</f>
        <v>1</v>
      </c>
      <c r="AN97" s="5">
        <f>COUNTIFS(   D4:D1440,"Astrofísica estelar. Evolución estelar. Supernovas",I4:I1440,"No")</f>
        <v>1</v>
      </c>
      <c r="AO97" s="5">
        <f>SUMIFS( E4:E1440, D4:D1440,"Astrofísica estelar. Evolución estelar. Supernovas",I4:I1440,"Sí")</f>
        <v>6</v>
      </c>
      <c r="AP97" s="5">
        <f>SUMIFS( E4:E1440, D4:D1440,"Astrofísica estelar. Evolución estelar. Supernovas",I4:I1440,"No")</f>
        <v>1</v>
      </c>
      <c r="AQ97" s="5">
        <f>COUNTIFS(   D4:D1440,"Astrofísica estelar. Evolución estelar. Supernovas",J4:J1440,"Sí")</f>
        <v>2</v>
      </c>
      <c r="AR97" s="5">
        <f>COUNTIFS(   D4:D1440,"Astrofísica estelar. Evolución estelar. Supernovas",K4:K1440,"Sí")</f>
        <v>0</v>
      </c>
      <c r="AS97" s="5">
        <f>COUNTIFS(   D4:D1440,"Astrofísica estelar. Evolución estelar. Supernovas",L4:L1440,"Sí")</f>
        <v>0</v>
      </c>
      <c r="AT97" s="5">
        <f>SUMIFS( E4:E1440, D4:D1440,"Astrofísica estelar. Evolución estelar. Supernovas")</f>
        <v>7</v>
      </c>
      <c r="AU97" s="5">
        <f>SUMIFS( E4:E1440, F4:F1440,"Hombre", D4:D1440,"Astrofísica estelar. Evolución estelar. Supernovas")</f>
        <v>0</v>
      </c>
      <c r="AV97" s="5">
        <f>SUMIFS( E4:E1440, F4:F1440,"Mujer", D4:D1440,"Astrofísica estelar. Evolución estelar. Supernovas")</f>
        <v>7</v>
      </c>
      <c r="AW97" s="19">
        <f>SUMIFS( E4:E1440, A4:A1440,"2018", D4:D1440,"Astrofísica estelar. Evolución estelar. Supernovas")</f>
        <v>0</v>
      </c>
      <c r="AX97" s="5">
        <f>SUMIFS( E4:E1440, A4:A1440,"2019", D4:D1440,"Astrofísica estelar. Evolución estelar. Supernovas")</f>
        <v>0</v>
      </c>
      <c r="AY97" s="5">
        <f>SUMIFS( E4:E1440, A4:A1440,"2020", D4:D1440,"Astrofísica estelar. Evolución estelar. Supernovas")</f>
        <v>7</v>
      </c>
      <c r="AZ97" s="5">
        <f>SUMIFS( E4:E1440, A4:A1440,"2021", D4:D1440,"Astrofísica estelar. Evolución estelar. Supernovas")</f>
        <v>0</v>
      </c>
      <c r="BA97" s="5">
        <f>SUMIFS( E4:E1440, A4:A1440,"2022", D4:D1440,"Astrofísica estelar. Evolución estelar. Supernovas")</f>
        <v>0</v>
      </c>
      <c r="BB97" s="19">
        <f>SUMIFS( E4:E1440, N4:N1440,"2018", D4:D1440,"Astrofísica estelar. Evolución estelar. Supernovas")</f>
        <v>0</v>
      </c>
      <c r="BC97" s="5">
        <f>SUMIFS( E4:E1440, N4:N1440,"2019", D4:D1440,"Astrofísica estelar. Evolución estelar. Supernovas")</f>
        <v>0</v>
      </c>
      <c r="BD97" s="5">
        <f>SUMIFS( E4:E1440, N4:N1440,"2020", D4:D1440,"Astrofísica estelar. Evolución estelar. Supernovas")</f>
        <v>0</v>
      </c>
      <c r="BE97" s="5">
        <f>SUMIFS( E4:E1440, N4:N1440,"2021", D4:D1440,"Astrofísica estelar. Evolución estelar. Supernovas")</f>
        <v>7</v>
      </c>
      <c r="BF97" s="5">
        <f>SUMIFS( E4:E1440, N4:N1440,"2022", D4:D1440,"Astrofísica estelar. Evolución estelar. Supernovas")</f>
        <v>0</v>
      </c>
      <c r="BG97" s="14">
        <f>AVERAGEIFS( E4:E1440, D4:D1440,"Astrofísica estelar. Evolución estelar. Supernovas")</f>
        <v>3.5</v>
      </c>
      <c r="BH97" s="14">
        <v>0</v>
      </c>
      <c r="BI97" s="14">
        <v>0</v>
      </c>
      <c r="BJ97" s="14">
        <v>0</v>
      </c>
      <c r="BK97" s="14" t="e">
        <f>AVERAGEIFS( E4:E1440, A4:A1440,"2021", D4:D1440,"Astrofísica estelar. Evolución estelar. Supernovas")</f>
        <v>#DIV/0!</v>
      </c>
      <c r="BL97" s="37">
        <v>0</v>
      </c>
      <c r="BM97" s="14">
        <v>11</v>
      </c>
      <c r="BN97" s="14">
        <v>0</v>
      </c>
      <c r="BO97" s="14">
        <v>0</v>
      </c>
      <c r="BP97" s="14">
        <v>0</v>
      </c>
      <c r="BQ97" s="14">
        <v>11</v>
      </c>
      <c r="BR97" s="14">
        <v>0</v>
      </c>
    </row>
    <row r="98" spans="1:70" ht="15" customHeight="1">
      <c r="A98" s="24">
        <v>2018</v>
      </c>
      <c r="B98" s="24" t="s">
        <v>78</v>
      </c>
      <c r="C98" s="24" t="s">
        <v>681</v>
      </c>
      <c r="D98" s="24" t="s">
        <v>201</v>
      </c>
      <c r="E98" s="23">
        <v>10</v>
      </c>
      <c r="F98" s="24" t="s">
        <v>207</v>
      </c>
      <c r="G98" s="24" t="s">
        <v>225</v>
      </c>
      <c r="H98" s="23" t="s">
        <v>226</v>
      </c>
      <c r="I98" s="24" t="s">
        <v>225</v>
      </c>
      <c r="J98" s="23" t="s">
        <v>226</v>
      </c>
      <c r="K98" s="24" t="s">
        <v>226</v>
      </c>
      <c r="L98" s="23"/>
      <c r="M98" s="26" t="s">
        <v>286</v>
      </c>
      <c r="N98" s="24">
        <v>2018</v>
      </c>
      <c r="O98" s="67" t="s">
        <v>109</v>
      </c>
      <c r="P98" s="68"/>
      <c r="Q98" s="68"/>
      <c r="R98" s="68"/>
      <c r="S98" s="68"/>
      <c r="T98" s="69"/>
      <c r="U98" s="5">
        <f>COUNTIFS(   D4:D1440,"Astrofísica galáctica. Radioastronomía. Medio interestelar. Estructura galáctica. Formación estelar")</f>
        <v>6</v>
      </c>
      <c r="V98" s="5">
        <f>COUNTIFS(   D4:D1440,"Astrofísica galáctica. Radioastronomía. Medio interestelar. Estructura galáctica. Formación estelar",F4:F1440,"Hombre")</f>
        <v>4</v>
      </c>
      <c r="W98" s="5">
        <f>COUNTIFS(   D4:D1440,"Astrofísica galáctica. Radioastronomía. Medio interestelar. Estructura galáctica. Formación estelar",F4:F1440,"Mujer")</f>
        <v>2</v>
      </c>
      <c r="X98" s="19">
        <f>COUNTIFS(   A4:A1440,"2018", D4:D1440,"Astrofísica galáctica. Radioastronomía. Medio interestelar. Estructura galáctica. Formación estelar")</f>
        <v>2</v>
      </c>
      <c r="Y98" s="5">
        <f>COUNTIFS(   A4:A1440,"2019", D4:D1440,"Astrofísica galáctica. Radioastronomía. Medio interestelar. Estructura galáctica. Formación estelar")</f>
        <v>0</v>
      </c>
      <c r="Z98" s="5">
        <f>COUNTIFS(   A4:A1440,"2020", D4:D1440,"Astrofísica galáctica. Radioastronomía. Medio interestelar. Estructura galáctica. Formación estelar")</f>
        <v>4</v>
      </c>
      <c r="AA98" s="5">
        <f>COUNTIFS(   A4:A1440,"2021", D4:D1440,"Astrofísica galáctica. Radioastronomía. Medio interestelar. Estructura galáctica. Formación estelar")</f>
        <v>0</v>
      </c>
      <c r="AB98" s="5">
        <f>COUNTIFS(  A4:A1440,"2022", D4:D1440,"Astrofísica galáctica. Radioastronomía. Medio interestelar. Estructura galáctica. Formación estelar")</f>
        <v>0</v>
      </c>
      <c r="AC98" s="19">
        <f>COUNTIFS(   N4:N1440,"2018", D4:D1440,"Astrofísica galáctica. Radioastronomía. Medio interestelar. Estructura galáctica. Formación estelar")</f>
        <v>0</v>
      </c>
      <c r="AD98" s="5">
        <f>COUNTIFS(   N4:N1440,"2019", D4:D1440,"Astrofísica galáctica. Radioastronomía. Medio interestelar. Estructura galáctica. Formación estelar")</f>
        <v>2</v>
      </c>
      <c r="AE98" s="5">
        <f>COUNTIFS(   N4:N1440,"2020", D4:D1440,"Astrofísica galáctica. Radioastronomía. Medio interestelar. Estructura galáctica. Formación estelar")</f>
        <v>0</v>
      </c>
      <c r="AF98" s="5">
        <f>COUNTIFS(   N4:N1440,"2021", D4:D1440,"Astrofísica galáctica. Radioastronomía. Medio interestelar. Estructura galáctica. Formación estelar")</f>
        <v>4</v>
      </c>
      <c r="AG98" s="5">
        <f>COUNTIFS(   N4:N1440,"2022", D4:D1440,"Astrofísica galáctica. Radioastronomía. Medio interestelar. Estructura galáctica. Formación estelar")</f>
        <v>0</v>
      </c>
      <c r="AH98" s="5">
        <f>COUNTIFS(   D4:D1440,"Astrofísica galáctica. Radioastronomía. Medio interestelar. Estructura galáctica. Formación estelar",G4:G1440,"Sí")</f>
        <v>0</v>
      </c>
      <c r="AI98" s="5">
        <f>COUNTIFS(   D4:D1440,"Astrofísica galáctica. Radioastronomía. Medio interestelar. Estructura galáctica. Formación estelar",G4:G1440,"No")</f>
        <v>6</v>
      </c>
      <c r="AJ98" s="5">
        <f>SUMIFS( E4:E1440, D4:D1440,"Astrofísica galáctica. Radioastronomía. Medio interestelar. Estructura galáctica. Formación estelar",G4:G1440,"Sí")</f>
        <v>0</v>
      </c>
      <c r="AK98" s="5">
        <f>SUMIFS( E4:E1440, D4:D1440,"Astrofísica galáctica. Radioastronomía. Medio interestelar. Estructura galáctica. Formación estelar",G4:G1440,"No")</f>
        <v>41</v>
      </c>
      <c r="AL98" s="5">
        <f>COUNTIFS(   D4:D1440,"Astrofísica galáctica. Radioastronomía. Medio interestelar. Estructura galáctica. Formación estelar",H4:H1440,"Sí")</f>
        <v>4</v>
      </c>
      <c r="AM98" s="5">
        <f>COUNTIFS(   D4:D1440,"Astrofísica galáctica. Radioastronomía. Medio interestelar. Estructura galáctica. Formación estelar",I4:I1440,"Sí")</f>
        <v>0</v>
      </c>
      <c r="AN98" s="5">
        <f>COUNTIFS(   D4:D1440,"Astrofísica galáctica. Radioastronomía. Medio interestelar. Estructura galáctica. Formación estelar",I4:I1440,"No")</f>
        <v>6</v>
      </c>
      <c r="AO98" s="5">
        <f>SUMIFS( E4:E1440, D4:D1440,"Astrofísica galáctica. Radioastronomía. Medio interestelar. Estructura galáctica. Formación estelar",I4:I1440,"Sí")</f>
        <v>0</v>
      </c>
      <c r="AP98" s="5">
        <f>SUMIFS( E4:E1440, D4:D1440,"Astrofísica galáctica. Radioastronomía. Medio interestelar. Estructura galáctica. Formación estelar",I4:I1440,"No")</f>
        <v>41</v>
      </c>
      <c r="AQ98" s="5">
        <f>COUNTIFS(   D4:D1440,"Astrofísica galáctica. Radioastronomía. Medio interestelar. Estructura galáctica. Formación estelar",J4:J1440,"Sí")</f>
        <v>6</v>
      </c>
      <c r="AR98" s="5">
        <f>COUNTIFS(   D4:D1440,"Astrofísica galáctica. Radioastronomía. Medio interestelar. Estructura galáctica. Formación estelar",K4:K1440,"Sí")</f>
        <v>2</v>
      </c>
      <c r="AS98" s="5">
        <f>COUNTIFS(   D4:D1440,"Astrofísica galáctica. Radioastronomía. Medio interestelar. Estructura galáctica. Formación estelar",L4:L1440,"Sí")</f>
        <v>0</v>
      </c>
      <c r="AT98" s="5">
        <f>SUMIFS( E4:E1440, D4:D1440,"Astrofísica galáctica. Radioastronomía. Medio interestelar. Estructura galáctica. Formación estelar")</f>
        <v>41</v>
      </c>
      <c r="AU98" s="5">
        <f>SUMIFS( E4:E1440, F4:F1440,"Hombre", D4:D1440,"Astrofísica galáctica. Radioastronomía. Medio interestelar. Estructura galáctica. Formación estelar")</f>
        <v>36</v>
      </c>
      <c r="AV98" s="5">
        <f>SUMIFS( E4:E1440, F4:F1440,"Mujer", D4:D1440,"Astrofísica galáctica. Radioastronomía. Medio interestelar. Estructura galáctica. Formación estelar")</f>
        <v>5</v>
      </c>
      <c r="AW98" s="19">
        <f>SUMIFS( E4:E1440, A4:A1440,"2018", D4:D1440,"Astrofísica galáctica. Radioastronomía. Medio interestelar. Estructura galáctica. Formación estelar")</f>
        <v>0</v>
      </c>
      <c r="AX98" s="5">
        <f>SUMIFS( E4:E1440, A4:A1440,"2019", D4:D1440,"Astrofísica galáctica. Radioastronomía. Medio interestelar. Estructura galáctica. Formación estelar")</f>
        <v>0</v>
      </c>
      <c r="AY98" s="5">
        <f>SUMIFS( E4:E1440, A4:A1440,"2020", D4:D1440,"Astrofísica galáctica. Radioastronomía. Medio interestelar. Estructura galáctica. Formación estelar")</f>
        <v>41</v>
      </c>
      <c r="AZ98" s="5">
        <f>SUMIFS( E4:E1440, A4:A1440,"2021", D4:D1440,"Astrofísica galáctica. Radioastronomía. Medio interestelar. Estructura galáctica. Formación estelar")</f>
        <v>0</v>
      </c>
      <c r="BA98" s="5">
        <f>SUMIFS( E4:E1440, A4:A1440,"2022", D4:D1440,"Astrofísica galáctica. Radioastronomía. Medio interestelar. Estructura galáctica. Formación estelar")</f>
        <v>0</v>
      </c>
      <c r="BB98" s="19">
        <f>SUMIFS( E4:E1440, N4:N1440,"2018", D4:D1440,"Astrofísica galáctica. Radioastronomía. Medio interestelar. Estructura galáctica. Formación estelar")</f>
        <v>0</v>
      </c>
      <c r="BC98" s="5">
        <f>SUMIFS( E4:E1440, N4:N1440,"2019", D4:D1440,"Astrofísica galáctica. Radioastronomía. Medio interestelar. Estructura galáctica. Formación estelar")</f>
        <v>0</v>
      </c>
      <c r="BD98" s="5">
        <f>SUMIFS( E4:E1440, N4:N1440,"2020", D4:D1440,"Astrofísica galáctica. Radioastronomía. Medio interestelar. Estructura galáctica. Formación estelar")</f>
        <v>0</v>
      </c>
      <c r="BE98" s="5">
        <f>SUMIFS( E4:E1440, N4:N1440,"2021", D4:D1440,"Astrofísica galáctica. Radioastronomía. Medio interestelar. Estructura galáctica. Formación estelar")</f>
        <v>41</v>
      </c>
      <c r="BF98" s="5">
        <f>SUMIFS( E4:E1440, N4:N1440,"2022", D4:D1440,"Astrofísica galáctica. Radioastronomía. Medio interestelar. Estructura galáctica. Formación estelar")</f>
        <v>0</v>
      </c>
      <c r="BG98" s="14">
        <f>AVERAGEIFS( E4:E1440, D4:D1440,"Astrofísica galáctica. Radioastronomía. Medio interestelar. Estructura galáctica. Formación estelar")</f>
        <v>10.25</v>
      </c>
      <c r="BH98" s="14">
        <v>0</v>
      </c>
      <c r="BI98" s="14">
        <v>0</v>
      </c>
      <c r="BJ98" s="14">
        <f>AVERAGEIFS( E4:E1440, A4:A1440,"2020", D4:D1440,"Astrofísica galáctica. Radioastronomía. Medio interestelar. Estructura galáctica. Formación estelar")</f>
        <v>10.25</v>
      </c>
      <c r="BK98" s="14">
        <v>0</v>
      </c>
      <c r="BL98" s="37" t="e">
        <f>AVERAGEIFS( E4:E1440, A4:A1440,"2022", D4:D1440,"Astrofísica galáctica. Radioastronomía. Medio interestelar. Estructura galáctica. Formación estelar")</f>
        <v>#DIV/0!</v>
      </c>
      <c r="BM98" s="14">
        <v>31</v>
      </c>
      <c r="BN98" s="14">
        <v>0</v>
      </c>
      <c r="BO98" s="14">
        <v>0</v>
      </c>
      <c r="BP98" s="14">
        <v>36.5</v>
      </c>
      <c r="BQ98" s="14">
        <v>0</v>
      </c>
      <c r="BR98" s="14">
        <v>20</v>
      </c>
    </row>
    <row r="99" spans="1:70" ht="15" customHeight="1">
      <c r="A99" s="24">
        <v>2018</v>
      </c>
      <c r="B99" s="24" t="s">
        <v>4</v>
      </c>
      <c r="C99" s="24" t="s">
        <v>18</v>
      </c>
      <c r="D99" s="24" t="s">
        <v>20</v>
      </c>
      <c r="E99" s="23"/>
      <c r="F99" s="24" t="s">
        <v>211</v>
      </c>
      <c r="G99" s="24" t="s">
        <v>225</v>
      </c>
      <c r="H99" s="23" t="s">
        <v>226</v>
      </c>
      <c r="I99" s="24" t="s">
        <v>225</v>
      </c>
      <c r="J99" s="23" t="s">
        <v>226</v>
      </c>
      <c r="K99" s="24" t="s">
        <v>226</v>
      </c>
      <c r="L99" s="23"/>
      <c r="M99" s="26" t="s">
        <v>286</v>
      </c>
      <c r="N99" s="24">
        <v>2018</v>
      </c>
      <c r="O99" s="67" t="s">
        <v>107</v>
      </c>
      <c r="P99" s="68"/>
      <c r="Q99" s="68"/>
      <c r="R99" s="68"/>
      <c r="S99" s="68"/>
      <c r="T99" s="69"/>
      <c r="U99" s="5">
        <f>COUNTIFS(   D4:D1440,"Biomatemáticas. Biofísica. Dinámica celular y tumoral.Formación de patrones. Ecología")</f>
        <v>2</v>
      </c>
      <c r="V99" s="5">
        <f>COUNTIFS(   D4:D1440,"Biomatemáticas. Biofísica. Dinámica celular y tumoral.Formación de patrones. Ecología",F4:F1440,"Hombre")</f>
        <v>2</v>
      </c>
      <c r="W99" s="5">
        <f>COUNTIFS(   D4:D1440,"Biomatemáticas. Biofísica. Dinámica celular y tumoral.Formación de patrones. Ecología",F4:F1440,"Mujer")</f>
        <v>0</v>
      </c>
      <c r="X99" s="19">
        <f>COUNTIFS(   A4:A1440,"2018", D4:D1440,"Biomatemáticas. Biofísica. Dinámica celular y tumoral.Formación de patrones. Ecología")</f>
        <v>0</v>
      </c>
      <c r="Y99" s="5">
        <f>COUNTIFS(   A4:A1440,"2019", D4:D1440,"Biomatemáticas. Biofísica. Dinámica celular y tumoral.Formación de patrones. Ecología")</f>
        <v>0</v>
      </c>
      <c r="Z99" s="5">
        <f>COUNTIFS(   A4:A1440,"2020", D4:D1440,"Biomatemáticas. Biofísica. Dinámica celular y tumoral.Formación de patrones. Ecología")</f>
        <v>2</v>
      </c>
      <c r="AA99" s="5">
        <f>COUNTIFS(   A4:A1440,"2021", D4:D1440,"Biomatemáticas. Biofísica. Dinámica celular y tumoral.Formación de patrones. Ecología")</f>
        <v>0</v>
      </c>
      <c r="AB99" s="5">
        <f>COUNTIFS(  A4:A1440,"2022", D4:D1440,"Biomatemáticas. Biofísica. Dinámica celular y tumoral.Formación de patrones. Ecología")</f>
        <v>0</v>
      </c>
      <c r="AC99" s="19">
        <f>COUNTIFS(   N4:N1440,"2018", D4:D1440,"Biomatemáticas. Biofísica. Dinámica celular y tumoral.Formación de patrones. Ecología")</f>
        <v>0</v>
      </c>
      <c r="AD99" s="5">
        <f>COUNTIFS(   N4:N1440,"2019", D4:D1440,"Biomatemáticas. Biofísica. Dinámica celular y tumoral.Formación de patrones. Ecología")</f>
        <v>0</v>
      </c>
      <c r="AE99" s="5">
        <f>COUNTIFS(   N4:N1440,"2020", D4:D1440,"Biomatemáticas. Biofísica. Dinámica celular y tumoral.Formación de patrones. Ecología")</f>
        <v>2</v>
      </c>
      <c r="AF99" s="5">
        <f>COUNTIFS(   N4:N1440,"2021", D4:D1440,"Biomatemáticas. Biofísica. Dinámica celular y tumoral.Formación de patrones. Ecología")</f>
        <v>0</v>
      </c>
      <c r="AG99" s="5">
        <f>COUNTIFS(   N4:N1440,"2022", D4:D1440,"Biomatemáticas. Biofísica. Dinámica celular y tumoral.Formación de patrones. Ecología")</f>
        <v>0</v>
      </c>
      <c r="AH99" s="5">
        <f>COUNTIFS(   D4:D1440,"Biomatemáticas. Biofísica. Dinámica celular y tumoral.Formación de patrones. Ecología",G4:G1440,"Sí")</f>
        <v>0</v>
      </c>
      <c r="AI99" s="5">
        <f>COUNTIFS(   D4:D1440,"Biomatemáticas. Biofísica. Dinámica celular y tumoral.Formación de patrones. Ecología",G4:G1440,"No")</f>
        <v>2</v>
      </c>
      <c r="AJ99" s="5">
        <f>SUMIFS( E4:E1440, D4:D1440,"Biomatemáticas. Biofísica. Dinámica celular y tumoral.Formación de patrones. Ecología",G4:G1440,"Sí")</f>
        <v>0</v>
      </c>
      <c r="AK99" s="5">
        <f>SUMIFS( E4:E1440, D4:D1440,"Biomatemáticas. Biofísica. Dinámica celular y tumoral.Formación de patrones. Ecología",G4:G1440,"No")</f>
        <v>11</v>
      </c>
      <c r="AL99" s="5">
        <f>COUNTIFS(   D4:D1440,"Biomatemáticas. Biofísica. Dinámica celular y tumoral.Formación de patrones. Ecología",H4:H1440,"Sí")</f>
        <v>2</v>
      </c>
      <c r="AM99" s="5">
        <f>COUNTIFS(   D4:D1440,"Biomatemáticas. Biofísica. Dinámica celular y tumoral.Formación de patrones. Ecología",I4:I1440,"Sí")</f>
        <v>2</v>
      </c>
      <c r="AN99" s="5">
        <f>COUNTIFS(   D4:D1440,"Biomatemáticas. Biofísica. Dinámica celular y tumoral.Formación de patrones. Ecología",I4:I1440,"No")</f>
        <v>0</v>
      </c>
      <c r="AO99" s="5">
        <f>SUMIFS( E4:E1440, D4:D1440,"Biomatemáticas. Biofísica. Dinámica celular y tumoral.Formación de patrones. Ecología",I4:I1440,"Sí")</f>
        <v>11</v>
      </c>
      <c r="AP99" s="5">
        <f>SUMIFS( E4:E1440, D4:D1440,"Biomatemáticas. Biofísica. Dinámica celular y tumoral.Formación de patrones. Ecología",I4:I1440,"No")</f>
        <v>0</v>
      </c>
      <c r="AQ99" s="5">
        <f>COUNTIFS(   D4:D1440,"Biomatemáticas. Biofísica. Dinámica celular y tumoral.Formación de patrones. Ecología",J4:J1440,"Sí")</f>
        <v>2</v>
      </c>
      <c r="AR99" s="5">
        <f>COUNTIFS(   D4:D1440,"Biomatemáticas. Biofísica. Dinámica celular y tumoral.Formación de patrones. Ecología",K4:K1440,"Sí")</f>
        <v>0</v>
      </c>
      <c r="AS99" s="5">
        <f>COUNTIFS(   D4:D1440,"Biomatemáticas. Biofísica. Dinámica celular y tumoral.Formación de patrones. Ecología",L4:L1440,"Sí")</f>
        <v>0</v>
      </c>
      <c r="AT99" s="5">
        <f>SUMIFS( E4:E1440, D4:D1440,"Biomatemáticas. Biofísica. Dinámica celular y tumoral.Formación de patrones. Ecología")</f>
        <v>11</v>
      </c>
      <c r="AU99" s="5">
        <f>SUMIFS( E4:E1440, F4:F1440,"Hombre", D4:D1440,"Biomatemáticas. Biofísica. Dinámica celular y tumoral.Formación de patrones. Ecología")</f>
        <v>11</v>
      </c>
      <c r="AV99" s="5">
        <f>SUMIFS( E4:E1440, F4:F1440,"Mujer", D4:D1440,"Biomatemáticas. Biofísica. Dinámica celular y tumoral.Formación de patrones. Ecología")</f>
        <v>0</v>
      </c>
      <c r="AW99" s="19">
        <f>SUMIFS( E4:E1440, A4:A1440,"2018", D4:D1440,"Biomatemáticas. Biofísica. Dinámica celular y tumoral.Formación de patrones. Ecología")</f>
        <v>0</v>
      </c>
      <c r="AX99" s="5">
        <f>SUMIFS( E4:E1440, A4:A1440,"2019", D4:D1440,"Biomatemáticas. Biofísica. Dinámica celular y tumoral.Formación de patrones. Ecología")</f>
        <v>0</v>
      </c>
      <c r="AY99" s="5">
        <f>SUMIFS( E4:E1440, A4:A1440,"2020", D4:D1440,"Biomatemáticas. Biofísica. Dinámica celular y tumoral.Formación de patrones. Ecología")</f>
        <v>11</v>
      </c>
      <c r="AZ99" s="5">
        <f>SUMIFS( E4:E1440, A4:A1440,"2021", D4:D1440,"Biomatemáticas. Biofísica. Dinámica celular y tumoral.Formación de patrones. Ecología")</f>
        <v>0</v>
      </c>
      <c r="BA99" s="5">
        <f>SUMIFS( E4:E1440, A4:A1440,"2022", D4:D1440,"Biomatemáticas. Biofísica. Dinámica celular y tumoral.Formación de patrones. Ecología")</f>
        <v>0</v>
      </c>
      <c r="BB99" s="19">
        <f>SUMIFS( E4:E1440, N4:N1440,"2018", D4:D1440,"Biomatemáticas. Biofísica. Dinámica celular y tumoral.Formación de patrones. Ecología")</f>
        <v>0</v>
      </c>
      <c r="BC99" s="5">
        <f>SUMIFS( E4:E1440, N4:N1440,"2019", D4:D1440,"Biomatemáticas. Biofísica. Dinámica celular y tumoral.Formación de patrones. Ecología")</f>
        <v>0</v>
      </c>
      <c r="BD99" s="5">
        <f>SUMIFS( E4:E1440, N4:N1440,"2020", D4:D1440,"Biomatemáticas. Biofísica. Dinámica celular y tumoral.Formación de patrones. Ecología")</f>
        <v>11</v>
      </c>
      <c r="BE99" s="5">
        <f>SUMIFS( E4:E1440, N4:N1440,"2021", D4:D1440,"Biomatemáticas. Biofísica. Dinámica celular y tumoral.Formación de patrones. Ecología")</f>
        <v>0</v>
      </c>
      <c r="BF99" s="5">
        <f>SUMIFS( E4:E1440, N4:N1440,"2022", D4:D1440,"Biomatemáticas. Biofísica. Dinámica celular y tumoral.Formación de patrones. Ecología")</f>
        <v>0</v>
      </c>
      <c r="BG99" s="14">
        <f>AVERAGEIFS( E4:E1440, D4:D1440,"Biomatemáticas. Biofísica. Dinámica celular y tumoral.Formación de patrones. Ecología")</f>
        <v>5.5</v>
      </c>
      <c r="BH99" s="14">
        <v>0</v>
      </c>
      <c r="BI99" s="14">
        <v>0</v>
      </c>
      <c r="BJ99" s="14">
        <v>0</v>
      </c>
      <c r="BK99" s="14" t="e">
        <f>AVERAGEIFS( E4:E1440, A4:A1440,"2021", D4:D1440,"Biomatemáticas. Biofísica. Dinámica celular y tumoral.Formación de patrones. Ecología")</f>
        <v>#DIV/0!</v>
      </c>
      <c r="BL99" s="37" t="e">
        <f>AVERAGEIFS( E4:E1440, A4:A1440,"2022", D4:D1440,"Biomatemáticas. Biofísica. Dinámica celular y tumoral.Formación de patrones. Ecología")</f>
        <v>#DIV/0!</v>
      </c>
      <c r="BM99" s="14">
        <v>3.5</v>
      </c>
      <c r="BN99" s="14">
        <v>0</v>
      </c>
      <c r="BO99" s="14">
        <v>0</v>
      </c>
      <c r="BP99" s="14">
        <v>0</v>
      </c>
      <c r="BQ99" s="14">
        <v>6</v>
      </c>
      <c r="BR99" s="14">
        <v>1</v>
      </c>
    </row>
    <row r="100" spans="1:70" ht="15" customHeight="1">
      <c r="A100" s="24">
        <v>2018</v>
      </c>
      <c r="B100" s="24" t="s">
        <v>4</v>
      </c>
      <c r="C100" s="24" t="s">
        <v>23</v>
      </c>
      <c r="D100" s="24" t="s">
        <v>25</v>
      </c>
      <c r="E100" s="23">
        <v>7</v>
      </c>
      <c r="F100" s="24" t="s">
        <v>211</v>
      </c>
      <c r="G100" s="24" t="s">
        <v>225</v>
      </c>
      <c r="H100" s="23" t="s">
        <v>226</v>
      </c>
      <c r="I100" s="24" t="s">
        <v>226</v>
      </c>
      <c r="J100" s="23" t="s">
        <v>226</v>
      </c>
      <c r="K100" s="24" t="s">
        <v>226</v>
      </c>
      <c r="L100" s="23"/>
      <c r="M100" s="26" t="s">
        <v>286</v>
      </c>
      <c r="N100" s="24">
        <v>2018</v>
      </c>
      <c r="O100" s="79" t="s">
        <v>110</v>
      </c>
      <c r="P100" s="77"/>
      <c r="Q100" s="77"/>
      <c r="R100" s="77"/>
      <c r="S100" s="77"/>
      <c r="T100" s="78"/>
      <c r="U100" s="5">
        <f>COUNTIFS(   D4:D1440,"Cosmología. Fondo cósmico de microondas. Estructura a gran escala")</f>
        <v>0</v>
      </c>
      <c r="V100" s="5">
        <f>COUNTIFS(   D4:D1440,"Cosmología. Fondo cósmico de microondas. Estructura a gran escala",F4:F1440,"Hombre")</f>
        <v>0</v>
      </c>
      <c r="W100" s="5">
        <f>COUNTIFS(   D4:D1440,"Cosmología. Fondo cósmico de microondas. Estructura a gran escala",F4:F1440,"Mujer")</f>
        <v>0</v>
      </c>
      <c r="X100" s="19">
        <f>COUNTIFS(   A4:A1440,"2018", D4:D1440,"Cosmología. Fondo cósmico de microondas. Estructura a gran escala")</f>
        <v>0</v>
      </c>
      <c r="Y100" s="5">
        <f>COUNTIFS(   A4:A1440,"2019", D4:D1440,"Cosmología. Fondo cósmico de microondas. Estructura a gran escala")</f>
        <v>0</v>
      </c>
      <c r="Z100" s="5">
        <f>COUNTIFS(   A4:A1440,"2020", D4:D1440,"Cosmología. Fondo cósmico de microondas. Estructura a gran escala")</f>
        <v>0</v>
      </c>
      <c r="AA100" s="5">
        <f>COUNTIFS(   A4:A1440,"2021", D4:D1440,"Cosmología. Fondo cósmico de microondas. Estructura a gran escala")</f>
        <v>0</v>
      </c>
      <c r="AB100" s="5">
        <f>COUNTIFS(  A4:A1440,"2022", D4:D1440,"Cosmología. Fondo cósmico de microondas. Estructura a gran escala")</f>
        <v>0</v>
      </c>
      <c r="AC100" s="19">
        <f>COUNTIFS(   N4:N1440,"2018", D4:D1440,"Cosmología. Fondo cósmico de microondas. Estructura a gran escala")</f>
        <v>0</v>
      </c>
      <c r="AD100" s="5">
        <f>COUNTIFS(   N4:N1440,"2019", D4:D1440,"Cosmología. Fondo cósmico de microondas. Estructura a gran escala")</f>
        <v>0</v>
      </c>
      <c r="AE100" s="5">
        <f>COUNTIFS(   N4:N1440,"2020", D4:D1440,"Cosmología. Fondo cósmico de microondas. Estructura a gran escala")</f>
        <v>0</v>
      </c>
      <c r="AF100" s="5">
        <f>COUNTIFS(   N4:N1440,"2021", D4:D1440,"Cosmología. Fondo cósmico de microondas. Estructura a gran escala")</f>
        <v>0</v>
      </c>
      <c r="AG100" s="5">
        <f>COUNTIFS(   N4:N1440,"2022", D4:D1440,"Cosmología. Fondo cósmico de microondas. Estructura a gran escala")</f>
        <v>0</v>
      </c>
      <c r="AH100" s="5">
        <f>COUNTIFS(   D4:D1440,"Cosmología. Fondo cósmico de microondas. Estructura a gran escala",G4:G1440,"Sí")</f>
        <v>0</v>
      </c>
      <c r="AI100" s="5">
        <f>COUNTIFS(   D4:D1440,"Cosmología. Fondo cósmico de microondas. Estructura a gran escala",G4:G1440,"No")</f>
        <v>0</v>
      </c>
      <c r="AJ100" s="5">
        <f>SUMIFS( E4:E1440, D4:D1440,"Cosmología. Fondo cósmico de microondas. Estructura a gran escala",G4:G1440,"Sí")</f>
        <v>0</v>
      </c>
      <c r="AK100" s="5">
        <f>SUMIFS( E4:E1440, D4:D1440,"Cosmología. Fondo cósmico de microondas. Estructura a gran escala",G4:G1440,"No")</f>
        <v>0</v>
      </c>
      <c r="AL100" s="5">
        <f>COUNTIFS(   D4:D1440,"Cosmología. Fondo cósmico de microondas. Estructura a gran escala",H4:H1440,"Sí")</f>
        <v>0</v>
      </c>
      <c r="AM100" s="5">
        <f>COUNTIFS(   D4:D1440,"Cosmología. Fondo cósmico de microondas. Estructura a gran escala",I4:I1440,"Sí")</f>
        <v>0</v>
      </c>
      <c r="AN100" s="5">
        <f>COUNTIFS(   D4:D1440,"Cosmología. Fondo cósmico de microondas. Estructura a gran escala",I4:I1440,"No")</f>
        <v>0</v>
      </c>
      <c r="AO100" s="5">
        <f>SUMIFS( E4:E1440, D4:D1440,"Cosmología. Fondo cósmico de microondas. Estructura a gran escala",I4:I1440,"Sí")</f>
        <v>0</v>
      </c>
      <c r="AP100" s="5">
        <f>SUMIFS( E4:E1440, D4:D1440,"Cosmología. Fondo cósmico de microondas. Estructura a gran escala",I4:I1440,"No")</f>
        <v>0</v>
      </c>
      <c r="AQ100" s="5">
        <f>COUNTIFS(   D4:D1440,"Cosmología. Fondo cósmico de microondas. Estructura a gran escala",J4:J1440,"Sí")</f>
        <v>0</v>
      </c>
      <c r="AR100" s="5">
        <f>COUNTIFS(   D4:D1440,"Cosmología. Fondo cósmico de microondas. Estructura a gran escala",K4:K1440,"Sí")</f>
        <v>0</v>
      </c>
      <c r="AS100" s="5">
        <f>COUNTIFS(   D4:D1440,"Cosmología. Fondo cósmico de microondas. Estructura a gran escala",L4:L1440,"Sí")</f>
        <v>0</v>
      </c>
      <c r="AT100" s="5">
        <f>SUMIFS( E4:E1440, D4:D1440,"Cosmología. Fondo cósmico de microondas. Estructura a gran escala")</f>
        <v>0</v>
      </c>
      <c r="AU100" s="5">
        <f>SUMIFS( E4:E1440, F4:F1440,"Hombre", D4:D1440,"Cosmología. Fondo cósmico de microondas. Estructura a gran escala")</f>
        <v>0</v>
      </c>
      <c r="AV100" s="5">
        <f>SUMIFS( E4:E1440, F4:F1440,"Mujer", D4:D1440,"Cosmología. Fondo cósmico de microondas. Estructura a gran escala")</f>
        <v>0</v>
      </c>
      <c r="AW100" s="19">
        <f>SUMIFS( E4:E1440, A4:A1440,"2018", D4:D1440,"Cosmología. Fondo cósmico de microondas. Estructura a gran escala")</f>
        <v>0</v>
      </c>
      <c r="AX100" s="5">
        <f>SUMIFS( E4:E1440, A4:A1440,"2019", D4:D1440,"Cosmología. Fondo cósmico de microondas. Estructura a gran escala")</f>
        <v>0</v>
      </c>
      <c r="AY100" s="5">
        <f>SUMIFS( E4:E1440, A4:A1440,"2020", D4:D1440,"Cosmología. Fondo cósmico de microondas. Estructura a gran escala")</f>
        <v>0</v>
      </c>
      <c r="AZ100" s="5">
        <f>SUMIFS( E4:E1440, A4:A1440,"2021", D4:D1440,"Cosmología. Fondo cósmico de microondas. Estructura a gran escala")</f>
        <v>0</v>
      </c>
      <c r="BA100" s="5">
        <f>SUMIFS( E4:E1440, A4:A1440,"2022", D4:D1440,"Cosmología. Fondo cósmico de microondas. Estructura a gran escala")</f>
        <v>0</v>
      </c>
      <c r="BB100" s="19">
        <f>SUMIFS( E4:E1440, N4:N1440,"2018", D4:D1440,"Cosmología. Fondo cósmico de microondas. Estructura a gran escala")</f>
        <v>0</v>
      </c>
      <c r="BC100" s="5">
        <f>SUMIFS( E4:E1440, N4:N1440,"2019", D4:D1440,"Cosmología. Fondo cósmico de microondas. Estructura a gran escala")</f>
        <v>0</v>
      </c>
      <c r="BD100" s="5">
        <f>SUMIFS( E4:E1440, N4:N1440,"2020", D4:D1440,"Cosmología. Fondo cósmico de microondas. Estructura a gran escala")</f>
        <v>0</v>
      </c>
      <c r="BE100" s="5">
        <f>SUMIFS( E4:E1440, N4:N1440,"2021", D4:D1440,"Cosmología. Fondo cósmico de microondas. Estructura a gran escala")</f>
        <v>0</v>
      </c>
      <c r="BF100" s="5">
        <f>SUMIFS( E4:E1440, N4:N1440,"2022", D4:D1440,"Cosmología. Fondo cósmico de microondas. Estructura a gran escala")</f>
        <v>0</v>
      </c>
      <c r="BG100" s="14" t="e">
        <f>AVERAGEIFS( E4:E1440, D4:D1440,"Cosmología. Fondo cósmico de microondas. Estructura a gran escala")</f>
        <v>#DIV/0!</v>
      </c>
      <c r="BH100" s="14">
        <v>0</v>
      </c>
      <c r="BI100" s="14">
        <v>0</v>
      </c>
      <c r="BJ100" s="14">
        <v>0</v>
      </c>
      <c r="BK100" s="14" t="e">
        <f>AVERAGEIFS( E4:E1440, A4:A1440,"2021", D4:D1440,"Cosmología. Fondo cósmico de microondas. Estructura a gran escala")</f>
        <v>#DIV/0!</v>
      </c>
      <c r="BL100" s="37">
        <v>0</v>
      </c>
      <c r="BM100" s="14">
        <v>12</v>
      </c>
      <c r="BN100" s="14">
        <v>0</v>
      </c>
      <c r="BO100" s="14">
        <v>0</v>
      </c>
      <c r="BP100" s="14">
        <v>0</v>
      </c>
      <c r="BQ100" s="14">
        <v>12</v>
      </c>
      <c r="BR100" s="14">
        <v>0</v>
      </c>
    </row>
    <row r="101" spans="1:70" ht="15" customHeight="1">
      <c r="A101" s="24">
        <v>2018</v>
      </c>
      <c r="B101" s="24" t="s">
        <v>136</v>
      </c>
      <c r="C101" s="24" t="s">
        <v>171</v>
      </c>
      <c r="D101" s="24" t="s">
        <v>173</v>
      </c>
      <c r="E101" s="28">
        <v>2</v>
      </c>
      <c r="F101" s="24" t="s">
        <v>207</v>
      </c>
      <c r="G101" s="24" t="s">
        <v>225</v>
      </c>
      <c r="H101" s="23" t="s">
        <v>226</v>
      </c>
      <c r="I101" s="24" t="s">
        <v>225</v>
      </c>
      <c r="J101" s="23" t="s">
        <v>226</v>
      </c>
      <c r="K101" s="24" t="s">
        <v>226</v>
      </c>
      <c r="L101" s="23"/>
      <c r="M101" s="26" t="s">
        <v>286</v>
      </c>
      <c r="N101" s="24">
        <v>2018</v>
      </c>
      <c r="O101" s="67" t="s">
        <v>106</v>
      </c>
      <c r="P101" s="68"/>
      <c r="Q101" s="68"/>
      <c r="R101" s="68"/>
      <c r="S101" s="68"/>
      <c r="T101" s="69"/>
      <c r="U101" s="5">
        <f>COUNTIFS(   D4:D1440,"Fenómenos cooperativos en Física Estadística: teoría y aplicaciones interdisciplinares. Teoría y simulación de sistemas complejos")</f>
        <v>3</v>
      </c>
      <c r="V101" s="5">
        <f>COUNTIFS(   D4:D1440,"Fenómenos cooperativos en Física Estadística: teoría y aplicaciones interdisciplinares. Teoría y simulación de sistemas complejos",F4:F1440,"Hombre")</f>
        <v>1</v>
      </c>
      <c r="W101" s="5">
        <f>COUNTIFS(   D4:D1440,"Fenómenos cooperativos en Física Estadística: teoría y aplicaciones interdisciplinares. Teoría y simulación de sistemas complejos",F4:F1440,"Mujer")</f>
        <v>2</v>
      </c>
      <c r="X101" s="19">
        <f>COUNTIFS(   A4:A1440,"2018", D4:D1440,"Fenómenos cooperativos en Física Estadística: teoría y aplicaciones interdisciplinares. Teoría y simulación de sistemas complejos")</f>
        <v>1</v>
      </c>
      <c r="Y101" s="5">
        <f>COUNTIFS(   A4:A1440,"2019", D4:D1440,"Fenómenos cooperativos en Física Estadística: teoría y aplicaciones interdisciplinares. Teoría y simulación de sistemas complejos")</f>
        <v>1</v>
      </c>
      <c r="Z101" s="5">
        <f>COUNTIFS(   A4:A1440,"2020", D4:D1440,"Fenómenos cooperativos en Física Estadística: teoría y aplicaciones interdisciplinares. Teoría y simulación de sistemas complejos")</f>
        <v>1</v>
      </c>
      <c r="AA101" s="5">
        <f>COUNTIFS(   A4:A1440,"2021", D4:D1440,"Fenómenos cooperativos en Física Estadística: teoría y aplicaciones interdisciplinares. Teoría y simulación de sistemas complejos")</f>
        <v>0</v>
      </c>
      <c r="AB101" s="5">
        <f>COUNTIFS(  A4:A1440,"2022", D4:D1440,"Fenómenos cooperativos en Física Estadística: teoría y aplicaciones interdisciplinares. Teoría y simulación de sistemas complejos")</f>
        <v>0</v>
      </c>
      <c r="AC101" s="19">
        <f>COUNTIFS(   N4:N1440,"2018", D4:D1440,"Fenómenos cooperativos en Física Estadística: teoría y aplicaciones interdisciplinares. Teoría y simulación de sistemas complejos")</f>
        <v>0</v>
      </c>
      <c r="AD101" s="5">
        <f>COUNTIFS(   N4:N1440,"2019", D4:D1440,"Fenómenos cooperativos en Física Estadística: teoría y aplicaciones interdisciplinares. Teoría y simulación de sistemas complejos")</f>
        <v>2</v>
      </c>
      <c r="AE101" s="5">
        <f>COUNTIFS(   N4:N1440,"2020", D4:D1440,"Fenómenos cooperativos en Física Estadística: teoría y aplicaciones interdisciplinares. Teoría y simulación de sistemas complejos")</f>
        <v>0</v>
      </c>
      <c r="AF101" s="5">
        <f>COUNTIFS(   N4:N1440,"2021", D4:D1440,"Fenómenos cooperativos en Física Estadística: teoría y aplicaciones interdisciplinares. Teoría y simulación de sistemas complejos")</f>
        <v>1</v>
      </c>
      <c r="AG101" s="5">
        <f>COUNTIFS(   N4:N1440,"2022", D4:D1440,"Fenómenos cooperativos en Física Estadística: teoría y aplicaciones interdisciplinares. Teoría y simulación de sistemas complejos")</f>
        <v>0</v>
      </c>
      <c r="AH101" s="5">
        <f>COUNTIFS(   D4:D1440,"Fenómenos cooperativos en Física Estadística: teoría y aplicaciones interdisciplinares. Teoría y simulación de sistemas complejos",G4:G1440,"Sí")</f>
        <v>1</v>
      </c>
      <c r="AI101" s="5">
        <f>COUNTIFS(   D4:D1440,"Fenómenos cooperativos en Física Estadística: teoría y aplicaciones interdisciplinares. Teoría y simulación de sistemas complejos",G4:G1440,"No")</f>
        <v>2</v>
      </c>
      <c r="AJ101" s="5">
        <f>SUMIFS( E4:E1440, D4:D1440,"Fenómenos cooperativos en Física Estadística: teoría y aplicaciones interdisciplinares. Teoría y simulación de sistemas complejos",G4:G1440,"Sí")</f>
        <v>7</v>
      </c>
      <c r="AK101" s="5">
        <f>SUMIFS( E4:E1440, D4:D1440,"Fenómenos cooperativos en Física Estadística: teoría y aplicaciones interdisciplinares. Teoría y simulación de sistemas complejos",G4:G1440,"No")</f>
        <v>4</v>
      </c>
      <c r="AL101" s="5">
        <f>COUNTIFS(   D4:D1440,"Fenómenos cooperativos en Física Estadística: teoría y aplicaciones interdisciplinares. Teoría y simulación de sistemas complejos",H4:H1440,"Sí")</f>
        <v>2</v>
      </c>
      <c r="AM101" s="5">
        <f>COUNTIFS(   D4:D1440,"Fenómenos cooperativos en Física Estadística: teoría y aplicaciones interdisciplinares. Teoría y simulación de sistemas complejos",I4:I1440,"Sí")</f>
        <v>2</v>
      </c>
      <c r="AN101" s="5">
        <f>COUNTIFS(   D4:D1440,"Fenómenos cooperativos en Física Estadística: teoría y aplicaciones interdisciplinares. Teoría y simulación de sistemas complejos",I4:I1440,"No")</f>
        <v>1</v>
      </c>
      <c r="AO101" s="5">
        <f>SUMIFS( E4:E1440, D4:D1440,"Fenómenos cooperativos en Física Estadística: teoría y aplicaciones interdisciplinares. Teoría y simulación de sistemas complejos",I4:I1440,"Sí")</f>
        <v>11</v>
      </c>
      <c r="AP101" s="5">
        <f>SUMIFS( E4:E1440, D4:D1440,"Fenómenos cooperativos en Física Estadística: teoría y aplicaciones interdisciplinares. Teoría y simulación de sistemas complejos",I4:I1440,"No")</f>
        <v>0</v>
      </c>
      <c r="AQ101" s="5">
        <f>COUNTIFS(   D4:D1440,"Fenómenos cooperativos en Física Estadística: teoría y aplicaciones interdisciplinares. Teoría y simulación de sistemas complejos",J4:J1440,"Sí")</f>
        <v>3</v>
      </c>
      <c r="AR101" s="5">
        <f>COUNTIFS(   D4:D1440,"Fenómenos cooperativos en Física Estadística: teoría y aplicaciones interdisciplinares. Teoría y simulación de sistemas complejos",K4:K1440,"Sí")</f>
        <v>2</v>
      </c>
      <c r="AS101" s="5">
        <f>COUNTIFS(   D4:D1440,"Fenómenos cooperativos en Física Estadística: teoría y aplicaciones interdisciplinares. Teoría y simulación de sistemas complejos",L4:L1440,"Sí")</f>
        <v>0</v>
      </c>
      <c r="AT101" s="5">
        <f>SUMIFS( E4:E1440, D4:D1440,"Fenómenos cooperativos en Física Estadística: teoría y aplicaciones interdisciplinares. Teoría y simulación de sistemas complejos")</f>
        <v>11</v>
      </c>
      <c r="AU101" s="5">
        <f>SUMIFS( E4:E1440, F4:F1440,"Hombre", D4:D1440,"Fenómenos cooperativos en Física Estadística: teoría y aplicaciones interdisciplinares. Teoría y simulación de sistemas complejos")</f>
        <v>7</v>
      </c>
      <c r="AV101" s="5">
        <f>SUMIFS( E4:E1440, F4:F1440,"Mujer", D4:D1440,"Fenómenos cooperativos en Física Estadística: teoría y aplicaciones interdisciplinares. Teoría y simulación de sistemas complejos")</f>
        <v>4</v>
      </c>
      <c r="AW101" s="19">
        <f>SUMIFS( E4:E1440, A4:A1440,"2018", D4:D1440,"Fenómenos cooperativos en Física Estadística: teoría y aplicaciones interdisciplinares. Teoría y simulación de sistemas complejos")</f>
        <v>4</v>
      </c>
      <c r="AX101" s="5">
        <f>SUMIFS( E4:E1440, A4:A1440,"2019", D4:D1440,"Fenómenos cooperativos en Física Estadística: teoría y aplicaciones interdisciplinares. Teoría y simulación de sistemas complejos")</f>
        <v>0</v>
      </c>
      <c r="AY101" s="5">
        <f>SUMIFS( E4:E1440, A4:A1440,"2020", D4:D1440,"Fenómenos cooperativos en Física Estadística: teoría y aplicaciones interdisciplinares. Teoría y simulación de sistemas complejos")</f>
        <v>7</v>
      </c>
      <c r="AZ101" s="5">
        <f>SUMIFS( E4:E1440, A4:A1440,"2021", D4:D1440,"Fenómenos cooperativos en Física Estadística: teoría y aplicaciones interdisciplinares. Teoría y simulación de sistemas complejos")</f>
        <v>0</v>
      </c>
      <c r="BA101" s="5">
        <f>SUMIFS( E4:E1440, A4:A1440,"2022", D4:D1440,"Fenómenos cooperativos en Física Estadística: teoría y aplicaciones interdisciplinares. Teoría y simulación de sistemas complejos")</f>
        <v>0</v>
      </c>
      <c r="BB101" s="19">
        <f>SUMIFS( E4:E1440, N4:N1440,"2018", D4:D1440,"Fenómenos cooperativos en Física Estadística: teoría y aplicaciones interdisciplinares. Teoría y simulación de sistemas complejos")</f>
        <v>0</v>
      </c>
      <c r="BC101" s="5">
        <f>SUMIFS( E4:E1440, N4:N1440,"2019", D4:D1440,"Fenómenos cooperativos en Física Estadística: teoría y aplicaciones interdisciplinares. Teoría y simulación de sistemas complejos")</f>
        <v>4</v>
      </c>
      <c r="BD101" s="5">
        <f>SUMIFS( E4:E1440, N4:N1440,"2020", D4:D1440,"Fenómenos cooperativos en Física Estadística: teoría y aplicaciones interdisciplinares. Teoría y simulación de sistemas complejos")</f>
        <v>0</v>
      </c>
      <c r="BE101" s="5">
        <f>SUMIFS( E4:E1440, N4:N1440,"2021", D4:D1440,"Fenómenos cooperativos en Física Estadística: teoría y aplicaciones interdisciplinares. Teoría y simulación de sistemas complejos")</f>
        <v>7</v>
      </c>
      <c r="BF101" s="5">
        <f>SUMIFS( E4:E1440, N4:N1440,"2022", D4:D1440,"Fenómenos cooperativos en Física Estadística: teoría y aplicaciones interdisciplinares. Teoría y simulación de sistemas complejos")</f>
        <v>0</v>
      </c>
      <c r="BG101" s="14">
        <f>AVERAGEIFS( E4:E1440, D4:D1440,"Fenómenos cooperativos en Física Estadística: teoría y aplicaciones interdisciplinares. Teoría y simulación de sistemas complejos")</f>
        <v>5.5</v>
      </c>
      <c r="BH101" s="14">
        <v>0</v>
      </c>
      <c r="BI101" s="14">
        <v>0</v>
      </c>
      <c r="BJ101" s="14">
        <v>0</v>
      </c>
      <c r="BK101" s="14" t="e">
        <f>AVERAGEIFS( E4:E1440, A4:A1440,"2021", D4:D1440,"Fenómenos cooperativos en Física Estadística: teoría y aplicaciones interdisciplinares. Teoría y simulación de sistemas complejos")</f>
        <v>#DIV/0!</v>
      </c>
      <c r="BL101" s="37" t="e">
        <f>AVERAGEIFS( E4:E1440, A4:A1440,"2022", D4:D1440,"Fenómenos cooperativos en Física Estadística: teoría y aplicaciones interdisciplinares. Teoría y simulación de sistemas complejos")</f>
        <v>#DIV/0!</v>
      </c>
      <c r="BM101" s="14">
        <v>9.3333333333333339</v>
      </c>
      <c r="BN101" s="14">
        <v>0</v>
      </c>
      <c r="BO101" s="14">
        <v>0</v>
      </c>
      <c r="BP101" s="14">
        <v>0</v>
      </c>
      <c r="BQ101" s="14">
        <v>6</v>
      </c>
      <c r="BR101" s="14">
        <v>11</v>
      </c>
    </row>
    <row r="102" spans="1:70" ht="15" customHeight="1">
      <c r="A102" s="24">
        <v>2018</v>
      </c>
      <c r="B102" s="24" t="s">
        <v>4</v>
      </c>
      <c r="C102" s="24" t="s">
        <v>23</v>
      </c>
      <c r="D102" s="24" t="s">
        <v>30</v>
      </c>
      <c r="E102" s="23">
        <v>7</v>
      </c>
      <c r="F102" s="24" t="s">
        <v>211</v>
      </c>
      <c r="G102" s="24" t="s">
        <v>225</v>
      </c>
      <c r="H102" s="23" t="s">
        <v>226</v>
      </c>
      <c r="I102" s="24" t="s">
        <v>225</v>
      </c>
      <c r="J102" s="23" t="s">
        <v>226</v>
      </c>
      <c r="K102" s="24" t="s">
        <v>226</v>
      </c>
      <c r="L102" s="23"/>
      <c r="M102" s="26" t="s">
        <v>286</v>
      </c>
      <c r="N102" s="24">
        <v>2018</v>
      </c>
      <c r="O102" s="80" t="s">
        <v>104</v>
      </c>
      <c r="P102" s="81"/>
      <c r="Q102" s="81"/>
      <c r="R102" s="81"/>
      <c r="S102" s="81"/>
      <c r="T102" s="82"/>
      <c r="U102" s="5">
        <f>COUNTIFS(   D4:D1440,"Teoría de Aproximación")</f>
        <v>2</v>
      </c>
      <c r="V102" s="5">
        <f>COUNTIFS(   D4:D1440,"Teoría de Aproximación",F4:F1440,"Hombre")</f>
        <v>2</v>
      </c>
      <c r="W102" s="5">
        <f>COUNTIFS(   D4:D1440,"Teoría de Aproximación",F4:F1440,"Mujer")</f>
        <v>0</v>
      </c>
      <c r="X102" s="19">
        <f>COUNTIFS(   A4:A1440,"2018", D4:D1440,"Teoría de Aproximación")</f>
        <v>2</v>
      </c>
      <c r="Y102" s="5">
        <f>COUNTIFS(   A4:A1440,"2019", D4:D1440,"Teoría de Aproximación")</f>
        <v>0</v>
      </c>
      <c r="Z102" s="5">
        <f>COUNTIFS(   A4:A1440,"2020", D4:D1440,"Teoría de Aproximación")</f>
        <v>0</v>
      </c>
      <c r="AA102" s="5">
        <f>COUNTIFS(   A4:A1440,"2021", D4:D1440,"Teoría de Aproximación")</f>
        <v>0</v>
      </c>
      <c r="AB102" s="5">
        <f>COUNTIFS(  A4:A1440,"2022", D4:D1440,"Teoría de Aproximación")</f>
        <v>0</v>
      </c>
      <c r="AC102" s="19">
        <f>COUNTIFS(   N4:N1440,"2018", D4:D1440,"Teoría de Aproximación")</f>
        <v>0</v>
      </c>
      <c r="AD102" s="5">
        <f>COUNTIFS(   N4:N1440,"2019", D4:D1440,"Teoría de Aproximación")</f>
        <v>2</v>
      </c>
      <c r="AE102" s="5">
        <f>COUNTIFS(   N4:N1440,"2020", D4:D1440,"Teoría de Aproximación")</f>
        <v>0</v>
      </c>
      <c r="AF102" s="5">
        <f>COUNTIFS(   N4:N1440,"2021", D4:D1440,"Teoría de Aproximación")</f>
        <v>0</v>
      </c>
      <c r="AG102" s="5">
        <f>COUNTIFS(   N4:N1440,"2022", D4:D1440,"Teoría de Aproximación")</f>
        <v>0</v>
      </c>
      <c r="AH102" s="5">
        <f>COUNTIFS(   D4:D1440,"Teoría de Aproximación",G4:G1440,"Sí")</f>
        <v>0</v>
      </c>
      <c r="AI102" s="5">
        <f>COUNTIFS(   D4:D1440,"Teoría de Aproximación",G4:G1440,"No")</f>
        <v>2</v>
      </c>
      <c r="AJ102" s="5">
        <f>SUMIFS( E4:E1440, D4:D1440,"Teoría de Aproximación",G4:G1440,"Sí")</f>
        <v>0</v>
      </c>
      <c r="AK102" s="5">
        <f>SUMIFS( E4:E1440, D4:D1440,"Teoría de Aproximación",G4:G1440,"No")</f>
        <v>2</v>
      </c>
      <c r="AL102" s="5">
        <f>COUNTIFS(   D4:D1440,"Teoría de Aproximación",H4:H1440,"Sí")</f>
        <v>0</v>
      </c>
      <c r="AM102" s="5">
        <f>COUNTIFS(   D4:D1440,"Teoría de Aproximación",I4:I1440,"Sí")</f>
        <v>0</v>
      </c>
      <c r="AN102" s="5">
        <f>COUNTIFS(   D4:D1440,"Teoría de Aproximación",I4:I1440,"No")</f>
        <v>2</v>
      </c>
      <c r="AO102" s="5">
        <f>SUMIFS( E4:E1440, D4:D1440,"Teoría de Aproximación",I4:I1440,"Sí")</f>
        <v>0</v>
      </c>
      <c r="AP102" s="5">
        <f>SUMIFS( E4:E1440, D4:D1440,"Teoría de Aproximación",I4:I1440,"No")</f>
        <v>2</v>
      </c>
      <c r="AQ102" s="5">
        <f>COUNTIFS(   D4:D1440,"Teoría de Aproximación",J4:J1440,"Sí")</f>
        <v>2</v>
      </c>
      <c r="AR102" s="5">
        <f>COUNTIFS(   D4:D1440,"Teoría de Aproximación",K4:K1440,"Sí")</f>
        <v>2</v>
      </c>
      <c r="AS102" s="5">
        <f>COUNTIFS(   D4:D1440,"Teoría de Aproximación",L4:L1440,"Sí")</f>
        <v>0</v>
      </c>
      <c r="AT102" s="5">
        <f>SUMIFS( E4:E1440, D4:D1440,"Teoría de Aproximación")</f>
        <v>2</v>
      </c>
      <c r="AU102" s="5">
        <f>SUMIFS( E4:E1440, F4:F1440,"Hombre", D4:D1440,"Teoría de Aproximación")</f>
        <v>2</v>
      </c>
      <c r="AV102" s="5">
        <f>SUMIFS( E4:E1440, F4:F1440,"Mujer", D4:D1440,"Teoría de Aproximación")</f>
        <v>0</v>
      </c>
      <c r="AW102" s="19">
        <f>SUMIFS( E4:E1440, A4:A1440,"2018", D4:D1440,"Teoría de Aproximación")</f>
        <v>2</v>
      </c>
      <c r="AX102" s="5">
        <f>SUMIFS( E4:E1440, A4:A1440,"2019", D4:D1440,"Teoría de Aproximación")</f>
        <v>0</v>
      </c>
      <c r="AY102" s="5">
        <f>SUMIFS( E4:E1440, A4:A1440,"2020", D4:D1440,"Teoría de Aproximación")</f>
        <v>0</v>
      </c>
      <c r="AZ102" s="5">
        <f>SUMIFS( E4:E1440, A4:A1440,"2021", D4:D1440,"Teoría de Aproximación")</f>
        <v>0</v>
      </c>
      <c r="BA102" s="5">
        <f>SUMIFS( E4:E1440, A4:A1440,"2022", D4:D1440,"Teoría de Aproximación")</f>
        <v>0</v>
      </c>
      <c r="BB102" s="19">
        <f>SUMIFS( E4:E1440, N4:N1440,"2018", D4:D1440,"Teoría de Aproximación")</f>
        <v>0</v>
      </c>
      <c r="BC102" s="5">
        <f>SUMIFS( E4:E1440, N4:N1440,"2019", D4:D1440,"Teoría de Aproximación")</f>
        <v>2</v>
      </c>
      <c r="BD102" s="5">
        <f>SUMIFS( E4:E1440, N4:N1440,"2020", D4:D1440,"Teoría de Aproximación")</f>
        <v>0</v>
      </c>
      <c r="BE102" s="5">
        <f>SUMIFS( E4:E1440, N4:N1440,"2021", D4:D1440,"Teoría de Aproximación")</f>
        <v>0</v>
      </c>
      <c r="BF102" s="5">
        <f>SUMIFS( E4:E1440, N4:N1440,"2022", D4:D1440,"Teoría de Aproximación")</f>
        <v>0</v>
      </c>
      <c r="BG102" s="14">
        <f>AVERAGEIFS( E4:E1440, D4:D1440,"Teoría de Aproximación")</f>
        <v>1</v>
      </c>
      <c r="BH102" s="14">
        <v>0</v>
      </c>
      <c r="BI102" s="14">
        <v>0</v>
      </c>
      <c r="BJ102" s="14">
        <v>0</v>
      </c>
      <c r="BK102" s="14">
        <v>0</v>
      </c>
      <c r="BL102" s="37" t="e">
        <f>AVERAGEIFS( E4:E1440, A4:A1440,"2022", D4:D1440,"Física de la Información. Átomos en Campos Externos. Teoría de Aproximación")</f>
        <v>#DIV/0!</v>
      </c>
      <c r="BM102" s="14">
        <v>9.75</v>
      </c>
      <c r="BN102" s="14">
        <v>0</v>
      </c>
      <c r="BO102" s="14">
        <v>0</v>
      </c>
      <c r="BP102" s="14">
        <v>0</v>
      </c>
      <c r="BQ102" s="14">
        <v>0</v>
      </c>
      <c r="BR102" s="14">
        <v>9.75</v>
      </c>
    </row>
    <row r="103" spans="1:70" ht="15" customHeight="1">
      <c r="A103" s="24">
        <v>2018</v>
      </c>
      <c r="B103" s="24" t="s">
        <v>136</v>
      </c>
      <c r="C103" s="24" t="s">
        <v>137</v>
      </c>
      <c r="D103" s="24" t="s">
        <v>140</v>
      </c>
      <c r="E103" s="23">
        <v>2</v>
      </c>
      <c r="F103" s="24" t="s">
        <v>207</v>
      </c>
      <c r="G103" s="24" t="s">
        <v>225</v>
      </c>
      <c r="H103" s="23" t="s">
        <v>226</v>
      </c>
      <c r="I103" s="24" t="s">
        <v>225</v>
      </c>
      <c r="J103" s="23" t="s">
        <v>226</v>
      </c>
      <c r="K103" s="24" t="s">
        <v>226</v>
      </c>
      <c r="L103" s="23"/>
      <c r="M103" s="26" t="s">
        <v>286</v>
      </c>
      <c r="N103" s="24">
        <v>2018</v>
      </c>
      <c r="O103" s="79" t="s">
        <v>105</v>
      </c>
      <c r="P103" s="77"/>
      <c r="Q103" s="77"/>
      <c r="R103" s="77"/>
      <c r="S103" s="77"/>
      <c r="T103" s="78"/>
      <c r="U103" s="5">
        <f>COUNTIFS(   D4:D1440,"Geometría y dinámica de partículas y cuerdas relativistas. Geometría de Lorentz y Gravitación")</f>
        <v>0</v>
      </c>
      <c r="V103" s="5">
        <f>COUNTIFS(   D4:D1440,"Geometría y dinámica de partículas y cuerdas relativistas. Geometría de Lorentz y Gravitación",F4:F1440,"Hombre")</f>
        <v>0</v>
      </c>
      <c r="W103" s="5">
        <f>COUNTIFS(   D4:D1440,"Geometría y dinámica de partículas y cuerdas relativistas. Geometría de Lorentz y Gravitación",F4:F1440,"Mujer")</f>
        <v>0</v>
      </c>
      <c r="X103" s="19">
        <f>COUNTIFS(   A4:A1440,"2018", D4:D1440,"Geometría y dinámica de partículas y cuerdas relativistas. Geometría de Lorentz y Gravitación")</f>
        <v>0</v>
      </c>
      <c r="Y103" s="5">
        <f>COUNTIFS(   A4:A1440,"2019", D4:D1440,"Geometría y dinámica de partículas y cuerdas relativistas. Geometría de Lorentz y Gravitación")</f>
        <v>0</v>
      </c>
      <c r="Z103" s="5">
        <f>COUNTIFS(   A4:A1440,"2020", D4:D1440,"Geometría y dinámica de partículas y cuerdas relativistas. Geometría de Lorentz y Gravitación")</f>
        <v>0</v>
      </c>
      <c r="AA103" s="5">
        <f>COUNTIFS(   A4:A1440,"2021", D4:D1440,"Geometría y dinámica de partículas y cuerdas relativistas. Geometría de Lorentz y Gravitación")</f>
        <v>0</v>
      </c>
      <c r="AB103" s="5">
        <f>COUNTIFS(  A4:A1440,"2022", D4:D1440,"Geometría y dinámica de partículas y cuerdas relativistas. Geometría de Lorentz y Gravitación")</f>
        <v>0</v>
      </c>
      <c r="AC103" s="19">
        <f>COUNTIFS(   N4:N1440,"2018", D4:D1440,"Geometría y dinámica de partículas y cuerdas relativistas. Geometría de Lorentz y Gravitación")</f>
        <v>0</v>
      </c>
      <c r="AD103" s="5">
        <f>COUNTIFS(   N4:N1440,"2019", D4:D1440,"Geometría y dinámica de partículas y cuerdas relativistas. Geometría de Lorentz y Gravitación")</f>
        <v>0</v>
      </c>
      <c r="AE103" s="5">
        <f>COUNTIFS(   N4:N1440,"2020", D4:D1440,"Geometría y dinámica de partículas y cuerdas relativistas. Geometría de Lorentz y Gravitación")</f>
        <v>0</v>
      </c>
      <c r="AF103" s="5">
        <f>COUNTIFS(   N4:N1440,"2021", D4:D1440,"Geometría y dinámica de partículas y cuerdas relativistas. Geometría de Lorentz y Gravitación")</f>
        <v>0</v>
      </c>
      <c r="AG103" s="5">
        <f>COUNTIFS(   N4:N1440,"2022", D4:D1440,"Geometría y dinámica de partículas y cuerdas relativistas. Geometría de Lorentz y Gravitación")</f>
        <v>0</v>
      </c>
      <c r="AH103" s="5">
        <f>COUNTIFS(   D4:D1440,"Geometría y dinámica de partículas y cuerdas relativistas. Geometría de Lorentz y Gravitación",G4:G1440,"Sí")</f>
        <v>0</v>
      </c>
      <c r="AI103" s="5">
        <f>COUNTIFS(   D4:D1440,"Geometría y dinámica de partículas y cuerdas relativistas. Geometría de Lorentz y Gravitación",G4:G1440,"No")</f>
        <v>0</v>
      </c>
      <c r="AJ103" s="5">
        <f>SUMIFS( E4:E1440, D4:D1440,"Geometría y dinámica de partículas y cuerdas relativistas. Geometría de Lorentz y Gravitación",G4:G1440,"Sí")</f>
        <v>0</v>
      </c>
      <c r="AK103" s="5">
        <f>SUMIFS( E4:E1440, D4:D1440,"Geometría y dinámica de partículas y cuerdas relativistas. Geometría de Lorentz y Gravitación",G4:G1440,"No")</f>
        <v>0</v>
      </c>
      <c r="AL103" s="5">
        <f>COUNTIFS(   D4:D1440,"Geometría y dinámica de partículas y cuerdas relativistas. Geometría de Lorentz y Gravitación",H4:H1440,"Sí")</f>
        <v>0</v>
      </c>
      <c r="AM103" s="5">
        <f>COUNTIFS(   D4:D1440,"Geometría y dinámica de partículas y cuerdas relativistas. Geometría de Lorentz y Gravitación",I4:I1440,"Sí")</f>
        <v>0</v>
      </c>
      <c r="AN103" s="5">
        <f>COUNTIFS(   D4:D1440,"Geometría y dinámica de partículas y cuerdas relativistas. Geometría de Lorentz y Gravitación",I4:I1440,"No")</f>
        <v>0</v>
      </c>
      <c r="AO103" s="5">
        <f>SUMIFS( E4:E1440, D4:D1440,"Geometría y dinámica de partículas y cuerdas relativistas. Geometría de Lorentz y Gravitación",I4:I1440,"Sí")</f>
        <v>0</v>
      </c>
      <c r="AP103" s="5">
        <f>SUMIFS( E4:E1440, D4:D1440,"Geometría y dinámica de partículas y cuerdas relativistas. Geometría de Lorentz y Gravitación",I4:I1440,"No")</f>
        <v>0</v>
      </c>
      <c r="AQ103" s="5">
        <f>COUNTIFS(   D4:D1440,"Geometría y dinámica de partículas y cuerdas relativistas. Geometría de Lorentz y Gravitación",J4:J1440,"Sí")</f>
        <v>0</v>
      </c>
      <c r="AR103" s="5">
        <f>COUNTIFS(   D4:D1440,"Geometría y dinámica de partículas y cuerdas relativistas. Geometría de Lorentz y Gravitación",K4:K1440,"Sí")</f>
        <v>0</v>
      </c>
      <c r="AS103" s="5">
        <f>COUNTIFS(   D4:D1440,"Geometría y dinámica de partículas y cuerdas relativistas. Geometría de Lorentz y Gravitación",L4:L1440,"Sí")</f>
        <v>0</v>
      </c>
      <c r="AT103" s="5">
        <f>SUMIFS( E4:E1440, D4:D1440,"Geometría y dinámica de partículas y cuerdas relativistas. Geometría de Lorentz y Gravitación")</f>
        <v>0</v>
      </c>
      <c r="AU103" s="5">
        <f>SUMIFS( E4:E1440, F4:F1440,"Hombre", D4:D1440,"Geometría y dinámica de partículas y cuerdas relativistas. Geometría de Lorentz y Gravitación")</f>
        <v>0</v>
      </c>
      <c r="AV103" s="5">
        <f>SUMIFS( E4:E1440, F4:F1440,"Mujer", D4:D1440,"Geometría y dinámica de partículas y cuerdas relativistas. Geometría de Lorentz y Gravitación")</f>
        <v>0</v>
      </c>
      <c r="AW103" s="19">
        <f>SUMIFS( E4:E1440, A4:A1440,"2018", D4:D1440,"Geometría y dinámica de partículas y cuerdas relativistas. Geometría de Lorentz y Gravitación")</f>
        <v>0</v>
      </c>
      <c r="AX103" s="5">
        <f>SUMIFS( E4:E1440, A4:A1440,"2019", D4:D1440,"Geometría y dinámica de partículas y cuerdas relativistas. Geometría de Lorentz y Gravitación")</f>
        <v>0</v>
      </c>
      <c r="AY103" s="5">
        <f>SUMIFS( E4:E1440, A4:A1440,"2020", D4:D1440,"Geometría y dinámica de partículas y cuerdas relativistas. Geometría de Lorentz y Gravitación")</f>
        <v>0</v>
      </c>
      <c r="AZ103" s="5">
        <f>SUMIFS( E4:E1440, A4:A1440,"2021", D4:D1440,"Geometría y dinámica de partículas y cuerdas relativistas. Geometría de Lorentz y Gravitación")</f>
        <v>0</v>
      </c>
      <c r="BA103" s="5">
        <f>SUMIFS( E4:E1440, A4:A1440,"2022", D4:D1440,"Geometría y dinámica de partículas y cuerdas relativistas. Geometría de Lorentz y Gravitación")</f>
        <v>0</v>
      </c>
      <c r="BB103" s="19">
        <f>SUMIFS( E4:E1440, N4:N1440,"2018", D4:D1440,"Geometría y dinámica de partículas y cuerdas relativistas. Geometría de Lorentz y Gravitación")</f>
        <v>0</v>
      </c>
      <c r="BC103" s="5">
        <f>SUMIFS( E4:E1440, N4:N1440,"2019", D4:D1440,"Geometría y dinámica de partículas y cuerdas relativistas. Geometría de Lorentz y Gravitación")</f>
        <v>0</v>
      </c>
      <c r="BD103" s="5">
        <f>SUMIFS( E4:E1440, N4:N1440,"2020", D4:D1440,"Geometría y dinámica de partículas y cuerdas relativistas. Geometría de Lorentz y Gravitación")</f>
        <v>0</v>
      </c>
      <c r="BE103" s="5">
        <f>SUMIFS( E4:E1440, N4:N1440,"2021", D4:D1440,"Geometría y dinámica de partículas y cuerdas relativistas. Geometría de Lorentz y Gravitación")</f>
        <v>0</v>
      </c>
      <c r="BF103" s="5">
        <f>SUMIFS( E4:E1440, N4:N1440,"2022", D4:D1440,"Geometría y dinámica de partículas y cuerdas relativistas. Geometría de Lorentz y Gravitación")</f>
        <v>0</v>
      </c>
      <c r="BG103" s="14" t="e">
        <f>AVERAGEIFS( E4:E1440, D4:D1440,"Geometría y dinámica de partículas y cuerdas relativistas. Geometría de Lorentz y Gravitación")</f>
        <v>#DIV/0!</v>
      </c>
      <c r="BH103" s="14">
        <v>0</v>
      </c>
      <c r="BI103" s="14">
        <v>0</v>
      </c>
      <c r="BJ103" s="14">
        <v>0</v>
      </c>
      <c r="BK103" s="14">
        <v>0</v>
      </c>
      <c r="BL103" s="37" t="e">
        <f>AVERAGEIFS( E4:E1440, A4:A1440,"2022", D4:D1440,"Geometría y dinámica de partículas y cuerdas relativistas. Geometría de Lorentz y Gravitación")</f>
        <v>#DIV/0!</v>
      </c>
      <c r="BM103" s="14">
        <v>3</v>
      </c>
      <c r="BN103" s="14">
        <v>0</v>
      </c>
      <c r="BO103" s="14">
        <v>0</v>
      </c>
      <c r="BP103" s="14">
        <v>0</v>
      </c>
      <c r="BQ103" s="14">
        <v>0</v>
      </c>
      <c r="BR103" s="14">
        <v>3</v>
      </c>
    </row>
    <row r="104" spans="1:70" ht="15" customHeight="1">
      <c r="A104" s="24">
        <v>2018</v>
      </c>
      <c r="B104" s="24" t="s">
        <v>136</v>
      </c>
      <c r="C104" s="24" t="s">
        <v>176</v>
      </c>
      <c r="D104" s="24" t="s">
        <v>181</v>
      </c>
      <c r="E104" s="23">
        <v>15</v>
      </c>
      <c r="F104" s="24" t="s">
        <v>211</v>
      </c>
      <c r="G104" s="24" t="s">
        <v>225</v>
      </c>
      <c r="H104" s="23" t="s">
        <v>226</v>
      </c>
      <c r="I104" s="24" t="s">
        <v>226</v>
      </c>
      <c r="J104" s="23" t="s">
        <v>226</v>
      </c>
      <c r="K104" s="24" t="s">
        <v>226</v>
      </c>
      <c r="L104" s="23"/>
      <c r="M104" s="26" t="s">
        <v>286</v>
      </c>
      <c r="N104" s="24">
        <v>2018</v>
      </c>
      <c r="O104" s="67" t="s">
        <v>108</v>
      </c>
      <c r="P104" s="68"/>
      <c r="Q104" s="68"/>
      <c r="R104" s="68"/>
      <c r="S104" s="68"/>
      <c r="T104" s="69"/>
      <c r="U104" s="5">
        <f>COUNTIFS(   D4:D1440,"Sistemas dinámicos. Dinámica hamiltoniana. Teoría cualitativa de ecuaciones diferenciales. Optimización y métodos variacionales. Análisis no lineal y ecuaciones elípticas")</f>
        <v>4</v>
      </c>
      <c r="V104" s="5">
        <f>COUNTIFS(   D4:D1440,"Sistemas dinámicos. Dinámica hamiltoniana. Teoría cualitativa de ecuaciones diferenciales. Optimización y métodos variacionales. Análisis no lineal y ecuaciones elípticas",F4:F1440,"Hombre")</f>
        <v>4</v>
      </c>
      <c r="W104" s="5">
        <f>COUNTIFS(   D4:D1440,"Sistemas dinámicos. Dinámica hamiltoniana. Teoría cualitativa de ecuaciones diferenciales. Optimización y métodos variacionales. Análisis no lineal y ecuaciones elípticas",F4:F1440,"Mujer")</f>
        <v>0</v>
      </c>
      <c r="X104" s="19">
        <f>COUNTIFS(   A4:A1440,"2018", D4:D1440,"Sistemas dinámicos. Dinámica hamiltoniana. Teoría cualitativa de ecuaciones diferenciales. Optimización y métodos variacionales. Análisis no lineal y ecuaciones elípticas")</f>
        <v>0</v>
      </c>
      <c r="Y104" s="5">
        <f>COUNTIFS(   A4:A1440,"2019", D4:D1440,"Sistemas dinámicos. Dinámica hamiltoniana. Teoría cualitativa de ecuaciones diferenciales. Optimización y métodos variacionales. Análisis no lineal y ecuaciones elípticas")</f>
        <v>1</v>
      </c>
      <c r="Z104" s="5">
        <f>COUNTIFS(   A4:A1440,"2020", D4:D1440,"Sistemas dinámicos. Dinámica hamiltoniana. Teoría cualitativa de ecuaciones diferenciales. Optimización y métodos variacionales. Análisis no lineal y ecuaciones elípticas")</f>
        <v>3</v>
      </c>
      <c r="AA104" s="5">
        <f>COUNTIFS(   A4:A1440,"2021", D4:D1440,"Sistemas dinámicos. Dinámica hamiltoniana. Teoría cualitativa de ecuaciones diferenciales. Optimización y métodos variacionales. Análisis no lineal y ecuaciones elípticas")</f>
        <v>0</v>
      </c>
      <c r="AB104" s="5">
        <f>COUNTIFS(  A4:A1440,"2022", D4:D1440,"Sistemas dinámicos. Dinámica hamiltoniana. Teoría cualitativa de ecuaciones diferenciales. Optimización y métodos variacionales. Análisis no lineal y ecuaciones elípticas")</f>
        <v>0</v>
      </c>
      <c r="AC104" s="19">
        <f>COUNTIFS(   N4:N1440,"2018", D4:D1440,"Sistemas dinámicos. Dinámica hamiltoniana. Teoría cualitativa de ecuaciones diferenciales. Optimización y métodos variacionales. Análisis no lineal y ecuaciones elípticas")</f>
        <v>0</v>
      </c>
      <c r="AD104" s="5">
        <f>COUNTIFS(   N4:N1440,"2019", D4:D1440,"Sistemas dinámicos. Dinámica hamiltoniana. Teoría cualitativa de ecuaciones diferenciales. Optimización y métodos variacionales. Análisis no lineal y ecuaciones elípticas")</f>
        <v>0</v>
      </c>
      <c r="AE104" s="5">
        <f>COUNTIFS(   N4:N1440,"2020", D4:D1440,"Sistemas dinámicos. Dinámica hamiltoniana. Teoría cualitativa de ecuaciones diferenciales. Optimización y métodos variacionales. Análisis no lineal y ecuaciones elípticas")</f>
        <v>2</v>
      </c>
      <c r="AF104" s="5">
        <f>COUNTIFS(   N4:N1440,"2021", D4:D1440,"Sistemas dinámicos. Dinámica hamiltoniana. Teoría cualitativa de ecuaciones diferenciales. Optimización y métodos variacionales. Análisis no lineal y ecuaciones elípticas")</f>
        <v>2</v>
      </c>
      <c r="AG104" s="5">
        <f>COUNTIFS(   N4:N1440,"2022", D4:D1440,"Sistemas dinámicos. Dinámica hamiltoniana. Teoría cualitativa de ecuaciones diferenciales. Optimización y métodos variacionales. Análisis no lineal y ecuaciones elípticas")</f>
        <v>0</v>
      </c>
      <c r="AH104" s="5">
        <f>COUNTIFS(   D4:D1440,"Sistemas dinámicos. Dinámica hamiltoniana. Teoría cualitativa de ecuaciones diferenciales. Optimización y métodos variacionales. Análisis no lineal y ecuaciones elípticas",G4:G1440,"Sí")</f>
        <v>2</v>
      </c>
      <c r="AI104" s="5">
        <f>COUNTIFS(   D4:D1440,"Sistemas dinámicos. Dinámica hamiltoniana. Teoría cualitativa de ecuaciones diferenciales. Optimización y métodos variacionales. Análisis no lineal y ecuaciones elípticas",G4:G1440,"No")</f>
        <v>2</v>
      </c>
      <c r="AJ104" s="5">
        <f>SUMIFS( E4:E1440, D4:D1440,"Sistemas dinámicos. Dinámica hamiltoniana. Teoría cualitativa de ecuaciones diferenciales. Optimización y métodos variacionales. Análisis no lineal y ecuaciones elípticas",G4:G1440,"Sí")</f>
        <v>7</v>
      </c>
      <c r="AK104" s="5">
        <f>SUMIFS( E4:E1440, D4:D1440,"Sistemas dinámicos. Dinámica hamiltoniana. Teoría cualitativa de ecuaciones diferenciales. Optimización y métodos variacionales. Análisis no lineal y ecuaciones elípticas",G4:G1440,"No")</f>
        <v>5</v>
      </c>
      <c r="AL104" s="5">
        <f>COUNTIFS(   D4:D1440,"Sistemas dinámicos. Dinámica hamiltoniana. Teoría cualitativa de ecuaciones diferenciales. Optimización y métodos variacionales. Análisis no lineal y ecuaciones elípticas",H4:H1440,"Sí")</f>
        <v>3</v>
      </c>
      <c r="AM104" s="5">
        <f>COUNTIFS(   D4:D1440,"Sistemas dinámicos. Dinámica hamiltoniana. Teoría cualitativa de ecuaciones diferenciales. Optimización y métodos variacionales. Análisis no lineal y ecuaciones elípticas",I4:I1440,"Sí")</f>
        <v>4</v>
      </c>
      <c r="AN104" s="5">
        <f>COUNTIFS(   $D$4:$D$1440,"Sistemas dinámicos. Dinámica hamiltoniana. Teoría cualitativa de ecuaciones diferenciales. Optimización y métodos variacionales. Análisis no lineal y ecuaciones elípticas",$I$4:$I$1440,"No")</f>
        <v>0</v>
      </c>
      <c r="AO104" s="5">
        <f>SUMIFS( $E$4:$E$1440, $D$4:$D$1440,"Sistemas dinámicos. Dinámica hamiltoniana. Teoría cualitativa de ecuaciones diferenciales. Optimización y métodos variacionales. Análisis no lineal y ecuaciones elípticas",$I$4:$I$1440,"Sí")</f>
        <v>12</v>
      </c>
      <c r="AP104" s="5">
        <f>SUMIFS( E4:E1440, D4:D1440,"Sistemas dinámicos. Dinámica hamiltoniana. Teoría cualitativa de ecuaciones diferenciales. Optimización y métodos variacionales. Análisis no lineal y ecuaciones elípticas",I4:I1440,"No")</f>
        <v>0</v>
      </c>
      <c r="AQ104" s="5">
        <f>COUNTIFS(   D4:D1440,"Sistemas dinámicos. Dinámica hamiltoniana. Teoría cualitativa de ecuaciones diferenciales. Optimización y métodos variacionales. Análisis no lineal y ecuaciones elípticas",J4:J1440,"Sí")</f>
        <v>4</v>
      </c>
      <c r="AR104" s="5">
        <f>COUNTIFS(   D4:D1440,"Sistemas dinámicos. Dinámica hamiltoniana. Teoría cualitativa de ecuaciones diferenciales. Optimización y métodos variacionales. Análisis no lineal y ecuaciones elípticas",K4:K1440,"Sí")</f>
        <v>1</v>
      </c>
      <c r="AS104" s="5">
        <f>COUNTIFS(   D4:D1440,"Sistemas dinámicos. Dinámica hamiltoniana. Teoría cualitativa de ecuaciones diferenciales. Optimización y métodos variacionales. Análisis no lineal y ecuaciones elípticas",L4:L1440,"Sí")</f>
        <v>0</v>
      </c>
      <c r="AT104" s="5">
        <f>SUMIFS( E4:E1440, D4:D1440,"Sistemas dinámicos. Dinámica hamiltoniana. Teoría cualitativa de ecuaciones diferenciales. Optimización y métodos variacionales. Análisis no lineal y ecuaciones elípticas")</f>
        <v>12</v>
      </c>
      <c r="AU104" s="5">
        <f>SUMIFS( E4:E1440, F4:F1440,"Hombre", D4:D1440,"Sistemas dinámicos. Dinámica hamiltoniana. Teoría cualitativa de ecuaciones diferenciales. Optimización y métodos variacionales. Análisis no lineal y ecuaciones elípticas")</f>
        <v>12</v>
      </c>
      <c r="AV104" s="5">
        <f>SUMIFS( E4:E1440, F4:F1440,"Mujer", D4:D1440,"Sistemas dinámicos. Dinámica hamiltoniana. Teoría cualitativa de ecuaciones diferenciales. Optimización y métodos variacionales. Análisis no lineal y ecuaciones elípticas")</f>
        <v>0</v>
      </c>
      <c r="AW104" s="19">
        <f>SUMIFS( E4:E1440, A4:A1440,"2018", D4:D1440,"Sistemas dinámicos. Dinámica hamiltoniana. Teoría cualitativa de ecuaciones diferenciales. Optimización y métodos variacionales. Análisis no lineal y ecuaciones elípticas")</f>
        <v>0</v>
      </c>
      <c r="AX104" s="5">
        <f>SUMIFS( E4:E1440, A4:A1440,"2019", D4:D1440,"Sistemas dinámicos. Dinámica hamiltoniana. Teoría cualitativa de ecuaciones diferenciales. Optimización y métodos variacionales. Análisis no lineal y ecuaciones elípticas")</f>
        <v>5</v>
      </c>
      <c r="AY104" s="5">
        <f>SUMIFS( E4:E1440, A4:A1440,"2020", D4:D1440,"Sistemas dinámicos. Dinámica hamiltoniana. Teoría cualitativa de ecuaciones diferenciales. Optimización y métodos variacionales. Análisis no lineal y ecuaciones elípticas")</f>
        <v>7</v>
      </c>
      <c r="AZ104" s="5">
        <f>SUMIFS( E4:E1440, A4:A1440,"2021", D4:D1440,"Sistemas dinámicos. Dinámica hamiltoniana. Teoría cualitativa de ecuaciones diferenciales. Optimización y métodos variacionales. Análisis no lineal y ecuaciones elípticas")</f>
        <v>0</v>
      </c>
      <c r="BA104" s="5">
        <f>SUMIFS( E4:E1440, A4:A1440,"2022", D4:D1440,"Sistemas dinámicos. Dinámica hamiltoniana. Teoría cualitativa de ecuaciones diferenciales. Optimización y métodos variacionales. Análisis no lineal y ecuaciones elípticas")</f>
        <v>0</v>
      </c>
      <c r="BB104" s="19">
        <f>SUMIFS( E4:E1440, N4:N1440,"2018", D4:D1440,"Sistemas dinámicos. Dinámica hamiltoniana. Teoría cualitativa de ecuaciones diferenciales. Optimización y métodos variacionales. Análisis no lineal y ecuaciones elípticas")</f>
        <v>0</v>
      </c>
      <c r="BC104" s="5">
        <f>SUMIFS( E4:E1440, N4:N1440,"2019", D4:D1440,"Sistemas dinámicos. Dinámica hamiltoniana. Teoría cualitativa de ecuaciones diferenciales. Optimización y métodos variacionales. Análisis no lineal y ecuaciones elípticas")</f>
        <v>0</v>
      </c>
      <c r="BD104" s="5">
        <f>SUMIFS( E4:E1440, N4:N1440,"2020", D4:D1440,"Resolución numérica de EDP. Ecuaciones no lineales y métodos numéricos. Modelado numérico de fluidos biológicos y geofísicos")</f>
        <v>0</v>
      </c>
      <c r="BE104" s="5">
        <f>SUMIFS( E4:E1440, N4:N1440,"2021", D4:D1440,"Sistemas dinámicos. Dinámica hamiltoniana. Teoría cualitativa de ecuaciones diferenciales. Optimización y métodos variacionales. Análisis no lineal y ecuaciones elípticas")</f>
        <v>2</v>
      </c>
      <c r="BF104" s="5">
        <f>SUMIFS( E4:E1440, N4:N1440,"2022", D4:D1440,"Sistemas dinámicos. Dinámica hamiltoniana. Teoría cualitativa de ecuaciones diferenciales. Optimización y métodos variacionales. Análisis no lineal y ecuaciones elípticas")</f>
        <v>0</v>
      </c>
      <c r="BG104" s="14">
        <f>AVERAGEIFS( E4:E1440, D4:D1440,"Sistemas dinámicos. Dinámica hamiltoniana. Teoría cualitativa de ecuaciones diferenciales. Optimización y métodos variacionales. Análisis no lineal y ecuaciones elípticas")</f>
        <v>4</v>
      </c>
      <c r="BH104" s="14">
        <v>0</v>
      </c>
      <c r="BI104" s="14">
        <v>0</v>
      </c>
      <c r="BJ104" s="14">
        <f>AVERAGEIFS( E4:E1440, A4:A1440,"2020", D4:D1440,"Sistemas dinámicos. Dinámica hamiltoniana. Teoría cualitativa de ecuaciones diferenciales. Optimización y métodos variacionales. Análisis no lineal y ecuaciones elípticas")</f>
        <v>3.5</v>
      </c>
      <c r="BK104" s="14" t="e">
        <f>AVERAGEIFS( E4:E1440, A4:A1440,"2021", D4:D1440,"Sistemas dinámicos. Dinámica hamiltoniana. Teoría cualitativa de ecuaciones diferenciales. Optimización y métodos variacionales. Análisis no lineal y ecuaciones elípticas")</f>
        <v>#DIV/0!</v>
      </c>
      <c r="BL104" s="37" t="e">
        <f>AVERAGEIFS( E4:E1440, A4:A1440,"2022", D4:D1440,"Sistemas dinámicos. Dinámica hamiltoniana. Teoría cualitativa de ecuaciones diferenciales. Optimización y métodos variacionales. Análisis no lineal y ecuaciones elípticas")</f>
        <v>#DIV/0!</v>
      </c>
      <c r="BM104" s="14">
        <v>8.3333333333333339</v>
      </c>
      <c r="BN104" s="14">
        <v>0</v>
      </c>
      <c r="BO104" s="14">
        <v>0</v>
      </c>
      <c r="BP104" s="14">
        <v>13</v>
      </c>
      <c r="BQ104" s="14">
        <v>4</v>
      </c>
      <c r="BR104" s="14">
        <v>8</v>
      </c>
    </row>
    <row r="105" spans="1:70" ht="15" customHeight="1">
      <c r="A105" s="24">
        <v>2018</v>
      </c>
      <c r="B105" s="24" t="s">
        <v>4</v>
      </c>
      <c r="C105" s="24" t="s">
        <v>18</v>
      </c>
      <c r="D105" s="24" t="s">
        <v>20</v>
      </c>
      <c r="E105" s="23">
        <v>36</v>
      </c>
      <c r="F105" s="24" t="s">
        <v>211</v>
      </c>
      <c r="G105" s="24" t="s">
        <v>225</v>
      </c>
      <c r="H105" s="23" t="s">
        <v>226</v>
      </c>
      <c r="I105" s="24" t="s">
        <v>226</v>
      </c>
      <c r="J105" s="23" t="s">
        <v>226</v>
      </c>
      <c r="K105" s="24" t="s">
        <v>226</v>
      </c>
      <c r="L105" s="23"/>
      <c r="M105" s="26" t="s">
        <v>286</v>
      </c>
      <c r="N105" s="24">
        <v>2018</v>
      </c>
      <c r="O105" s="51" t="s">
        <v>371</v>
      </c>
      <c r="P105" s="52"/>
      <c r="Q105" s="52"/>
      <c r="R105" s="52"/>
      <c r="S105" s="52"/>
      <c r="T105" s="53"/>
      <c r="U105" s="5">
        <f>COUNTIFS(   D5:D1441,"Ecuaciones de evolución en derivadas parciales. Ecuaciones cinéticas y cuánticas. Mecánica de fluidos. Relatividad. Métodos variacionales")</f>
        <v>2</v>
      </c>
      <c r="V105" s="5">
        <f>COUNTIFS(   D5:D1441,"Ecuaciones de evolución en derivadas parciales. Ecuaciones cinéticas y cuánticas. Mecánica de fluidos. Relatividad. Métodos variacionales",F5:F1441,"Hombre")</f>
        <v>1</v>
      </c>
      <c r="W105" s="32">
        <f>COUNTIFS(   D4:D1440,"Ecuaciones de evolución en derivadas parciales. Ecuaciones cinéticas y cuánticas. Mecánica de fluidos. Relatividad. Métodos variacionales",F4:F1440,"Mujer")</f>
        <v>1</v>
      </c>
      <c r="X105" s="33">
        <f>COUNTIFS(   A3:A1439,"2018", D4:D1440,"Ecuaciones de evolución en derivadas parciales. Ecuaciones cinéticas y cuánticas. Mecánica de fluidos. Relatividad. Métodos variacionales")</f>
        <v>0</v>
      </c>
      <c r="Y105" s="32">
        <f>COUNTIFS(   A3:A1439,"2019", D4:D1440,"Ecuaciones de evolución en derivadas parciales. Ecuaciones cinéticas y cuánticas. Mecánica de fluidos. Relatividad. Métodos variacionales")</f>
        <v>1</v>
      </c>
      <c r="Z105" s="32">
        <f>COUNTIFS(   A3:A1439,"2020", D4:D1440,"Ecuaciones de evolución en derivadas parciales. Ecuaciones cinéticas y cuánticas. Mecánica de fluidos. Relatividad. Métodos variacionales")</f>
        <v>1</v>
      </c>
      <c r="AA105" s="32">
        <f>COUNTIFS(   A3:A1439,"2021", D4:D1440,"Ecuaciones de evolución en derivadas parciales. Ecuaciones cinéticas y cuánticas. Mecánica de fluidos. Relatividad. Métodos variacionales")</f>
        <v>0</v>
      </c>
      <c r="AB105" s="32">
        <f>COUNTIFS(  A3:A1439,"2022", D3:D1439,"Ecuaciones de evolución en derivadas parciales. Ecuaciones cinéticas y cuánticas. Mecánica de fluidos. Relatividad. Métodos variacionales")</f>
        <v>0</v>
      </c>
      <c r="AC105" s="33">
        <f>COUNTIFS(   N3:N1439,"2018", D3:D1439,"Ecuaciones de evolución en derivadas parciales. Ecuaciones cinéticas y cuánticas. Mecánica de fluidos. Relatividad. Métodos variacionales")</f>
        <v>0</v>
      </c>
      <c r="AD105" s="32">
        <f>COUNTIFS(   N3:N1439,"2019", D3:D1439,"Ecuaciones de evolución en derivadas parciales. Ecuaciones cinéticas y cuánticas. Mecánica de fluidos. Relatividad. Métodos variacionales")</f>
        <v>1</v>
      </c>
      <c r="AE105" s="32">
        <f>COUNTIFS(   N3:N1439,"2020", D3:D1439,"Ecuaciones de evolución en derivadas parciales. Ecuaciones cinéticas y cuánticas. Mecánica de fluidos. Relatividad. Métodos variacionales")</f>
        <v>1</v>
      </c>
      <c r="AF105" s="32">
        <f>COUNTIFS(   N3:N1439,"2021", D3:D1439,"Ecuaciones de evolución en derivadas parciales. Ecuaciones cinéticas y cuánticas. Mecánica de fluidos. Relatividad. Métodos variacionales")</f>
        <v>0</v>
      </c>
      <c r="AG105" s="32">
        <f>COUNTIFS(   N3:N1439,"2022", D3:D1439,"Ecuaciones de evolución en derivadas parciales. Ecuaciones cinéticas y cuánticas. Mecánica de fluidos. Relatividad. Métodos variacionales")</f>
        <v>0</v>
      </c>
      <c r="AH105" s="32">
        <f>COUNTIFS(   D3:D1439,"Ecuaciones de evolución en derivadas parciales. Ecuaciones cinéticas y cuánticas. Mecánica de fluidos. Relatividad. Métodos variacionales",G3:G1439,"Sí")</f>
        <v>1</v>
      </c>
      <c r="AI105" s="32">
        <f>COUNTIFS(   D3:D1439,"Ecuaciones de evolución en derivadas parciales. Ecuaciones cinéticas y cuánticas. Mecánica de fluidos. Relatividad. Métodos variacionales",G3:G1439,"No")</f>
        <v>1</v>
      </c>
      <c r="AJ105" s="32">
        <f>SUMIFS( E3:E1439, D3:D1439,"Ecuaciones de evolución en derivadas parciales. Ecuaciones cinéticas y cuánticas. Mecánica de fluidos. Relatividad. Métodos variacionales",G3:G1439,"Sí")</f>
        <v>1</v>
      </c>
      <c r="AK105" s="32">
        <f>SUMIFS( E3:E1439, D3:D1439,"Ecuaciones de evolución en derivadas parciales. Ecuaciones cinéticas y cuánticas. Mecánica de fluidos. Relatividad. Métodos variacionales",G3:G1439,"No")</f>
        <v>1</v>
      </c>
      <c r="AL105" s="32">
        <f>COUNTIFS(   D3:D1439,"Ecuaciones de evolución en derivadas parciales. Ecuaciones cinéticas y cuánticas. Mecánica de fluidos. Relatividad. Métodos variacionales",H3:H1439,"Sí")</f>
        <v>0</v>
      </c>
      <c r="AM105" s="32">
        <f>COUNTIFS(   D3:D1439,"Ecuaciones de evolución en derivadas parciales. Ecuaciones cinéticas y cuánticas. Mecánica de fluidos. Relatividad. Métodos variacionales",I3:I1439,"Sí")</f>
        <v>2</v>
      </c>
      <c r="AN105" s="32">
        <f>COUNTIFS(   $D$4:$D$1440,"Ecuaciones de evolución en derivadas parciales. Ecuaciones cinéticas y cuánticas. Mecánica de fluidos. Relatividad. Métodos variacionales",$I$4:$I$1440,"No")</f>
        <v>0</v>
      </c>
      <c r="AO105" s="32">
        <f>SUMIFS( $E$4:$E$1440, $D$4:$D$1440,"Ecuaciones de evolución en derivadas parciales. Ecuaciones cinéticas y cuánticas. Mecánica de fluidos. Relatividad. Métodos variacionales",$I$4:$I$1440,"Sí")</f>
        <v>2</v>
      </c>
      <c r="AP105" s="32">
        <f>SUMIFS( E3:E1439, D3:D1439,"Ecuaciones de evolución en derivadas parciales. Ecuaciones cinéticas y cuánticas. Mecánica de fluidos. Relatividad. Métodos variacionales",I3:I1439,"No")</f>
        <v>0</v>
      </c>
      <c r="AQ105" s="32">
        <f>COUNTIFS(   D3:D1439,"Ecuaciones de evolución en derivadas parciales. Ecuaciones cinéticas y cuánticas. Mecánica de fluidos. Relatividad. Métodos variacionales",J3:J1439,"Sí")</f>
        <v>2</v>
      </c>
      <c r="AR105" s="32">
        <f>COUNTIFS(   D3:D1439,"Ecuaciones de evolución en derivadas parciales. Ecuaciones cinéticas y cuánticas. Mecánica de fluidos. Relatividad. Métodos variacionales",K3:K1439,"Sí")</f>
        <v>1</v>
      </c>
      <c r="AS105" s="32">
        <f>COUNTIFS(   D3:D1439,"Ecuaciones de evolución en derivadas parciales. Ecuaciones cinéticas y cuánticas. Mecánica de fluidos. Relatividad. Métodos variacionales",L3:L1439,"Sí")</f>
        <v>0</v>
      </c>
      <c r="AT105" s="32">
        <f>SUMIFS( E3:E1439, D3:D1439,"Ecuaciones de evolución en derivadas parciales. Ecuaciones cinéticas y cuánticas. Mecánica de fluidos. Relatividad. Métodos variacionales")</f>
        <v>2</v>
      </c>
      <c r="AU105" s="32">
        <f>SUMIFS( E3:E1439, F3:F1439,"Hombre", D3:D1439,"Ecuaciones de evolución en derivadas parciales. Ecuaciones cinéticas y cuánticas. Mecánica de fluidos. Relatividad. Métodos variacionales")</f>
        <v>1</v>
      </c>
      <c r="AV105" s="32">
        <f>SUMIFS( E3:E1439, F3:F1439,"Mujer", D3:D1439,"Ecuaciones de evolución en derivadas parciales. Ecuaciones cinéticas y cuánticas. Mecánica de fluidos. Relatividad. Métodos variacionales")</f>
        <v>1</v>
      </c>
      <c r="AW105" s="33">
        <f>SUMIFS( E3:E1439, A3:A1439,"2018", D3:D1439,"Ecuaciones de evolución en derivadas parciales. Ecuaciones cinéticas y cuánticas. Mecánica de fluidos. Relatividad. Métodos variacionales")</f>
        <v>0</v>
      </c>
      <c r="AX105" s="32">
        <f>SUMIFS( E3:E1439, A3:A1439,"2019", D3:D1439,"Ecuaciones de evolución en derivadas parciales. Ecuaciones cinéticas y cuánticas. Mecánica de fluidos. Relatividad. Métodos variacionales")</f>
        <v>1</v>
      </c>
      <c r="AY105" s="5">
        <f>SUMIFS( E4:E1440, A4:A1440,"2020", D4:D1440,"Ecuaciones de evolución en derivadas parciales. Ecuaciones cinéticas y cuánticas. Mecánica de fluidos. Relatividad. Métodos variacionales")</f>
        <v>1</v>
      </c>
      <c r="AZ105" s="5">
        <f>SUMIFS( E4:E1440, A4:A1440,"2021", D4:D1440,"Ecuaciones de evolución en derivadas parciales. Ecuaciones cinéticas y cuánticas. Mecánica de fluidos. Relatividad. Métodos variacionales")</f>
        <v>0</v>
      </c>
      <c r="BA105" s="5">
        <f>SUMIFS( E4:E1440, A4:A1440,"2022", D4:D1440,"Ecuaciones de evolución en derivadas parciales. Ecuaciones cinéticas y cuánticas. Mecánica de fluidos. Relatividad. Métodos variacionales")</f>
        <v>0</v>
      </c>
      <c r="BB105" s="19">
        <f>SUMIFS( E4:E1440, N4:N1440,"2018", D4:D1440,"Ecuaciones de evolución en derivadas parciales. Ecuaciones cinéticas y cuánticas. Mecánica de fluidos. Relatividad. Métodos variacionales")</f>
        <v>0</v>
      </c>
      <c r="BC105" s="5">
        <f>SUMIFS( E4:E1440, N4:N1440,"2019", D4:D1440,"Ecuaciones de evolución en derivadas parciales. Ecuaciones cinéticas y cuánticas. Mecánica de fluidos. Relatividad. Métodos variacionales")</f>
        <v>1</v>
      </c>
      <c r="BD105" s="5">
        <f>SUMIFS( E4:E1440, N4:N1440,"2020", D4:D1440,"Ecuaciones de evolución en derivadas parciales. Ecuaciones cinéticas y cuánticas. Mecánica de fluidos. Relatividad. Métodos variacionales")</f>
        <v>1</v>
      </c>
      <c r="BE105" s="5">
        <f>SUMIFS( E4:E1440, N4:N1440,"2021", D4:D1440,"Ecuaciones de evolución en derivadas parciales. Ecuaciones cinéticas y cuánticas. Mecánica de fluidos. Relatividad. Métodos variacionales")</f>
        <v>0</v>
      </c>
      <c r="BF105" s="5">
        <f>SUMIFS( E4:E1440, N4:N1440,"2022", D4:D1440,"Ecuaciones de evolución en derivadas parciales. Ecuaciones cinéticas y cuánticas. Mecánica de fluidos. Relatividad. Métodos variacionales")</f>
        <v>0</v>
      </c>
      <c r="BG105" s="14">
        <f>AVERAGEIFS( E4:E1440, D4:D1440,"Ecuaciones de evolución en derivadas parciales. Ecuaciones cinéticas y cuánticas. Mecánica de fluidos. Relatividad. Métodos variacionales")</f>
        <v>1</v>
      </c>
      <c r="BH105" s="14"/>
      <c r="BI105" s="14"/>
      <c r="BJ105" s="14">
        <f>AVERAGEIFS( E4:E1440, A4:A1440,"2020", D4:D1440,"Ecuaciones de evolución en derivadas parciales. Ecuaciones cinéticas y cuánticas. Mecánica de fluidos. Relatividad. Métodos variacionales")</f>
        <v>1</v>
      </c>
      <c r="BK105" s="14" t="e">
        <f>AVERAGEIFS( E4:E1440, A4:A1440,"2021", D4:D1440,"Ecuaciones de evolución en derivadas parciales. Ecuaciones cinéticas y cuánticas. Mecánica de fluidos. Relatividad. Métodos variacionales")</f>
        <v>#DIV/0!</v>
      </c>
      <c r="BL105" s="37" t="e">
        <f>AVERAGEIFS( E4:E1440, A4:A1440,"2022", D4:D1440,"Ecuaciones de evolución en derivadas parciales. Ecuaciones cinéticas y cuánticas. Mecánica de fluidos. Relatividad. Métodos variacionales")</f>
        <v>#DIV/0!</v>
      </c>
      <c r="BM105" s="14"/>
      <c r="BN105" s="14"/>
      <c r="BO105" s="14"/>
      <c r="BP105" s="14"/>
      <c r="BQ105" s="14"/>
      <c r="BR105" s="14"/>
    </row>
    <row r="106" spans="1:70" ht="15" customHeight="1">
      <c r="A106" s="24">
        <v>2018</v>
      </c>
      <c r="B106" s="24" t="s">
        <v>136</v>
      </c>
      <c r="C106" s="24" t="s">
        <v>176</v>
      </c>
      <c r="D106" s="24" t="s">
        <v>186</v>
      </c>
      <c r="E106" s="23">
        <v>1</v>
      </c>
      <c r="F106" s="24" t="s">
        <v>207</v>
      </c>
      <c r="G106" s="24" t="s">
        <v>225</v>
      </c>
      <c r="H106" s="23" t="s">
        <v>226</v>
      </c>
      <c r="I106" s="24" t="s">
        <v>225</v>
      </c>
      <c r="J106" s="23" t="s">
        <v>226</v>
      </c>
      <c r="K106" s="24" t="s">
        <v>226</v>
      </c>
      <c r="L106" s="23"/>
      <c r="M106" s="26" t="s">
        <v>287</v>
      </c>
      <c r="N106" s="24">
        <v>2018</v>
      </c>
      <c r="O106" s="51" t="s">
        <v>373</v>
      </c>
      <c r="P106" s="52"/>
      <c r="Q106" s="52"/>
      <c r="R106" s="52"/>
      <c r="S106" s="52"/>
      <c r="T106" s="53"/>
      <c r="U106" s="32">
        <f>COUNTIFS(   D4:D1440,"Análisis funcional. Análisis de Fourier. Geometría infinito-dimensional. Algebras de operadores: C* álgebras")</f>
        <v>1</v>
      </c>
      <c r="V106" s="32">
        <f>COUNTIFS(   D4:D1440,"Análisis funcional. Análisis de Fourier. Geometría infinito-dimensional. Algebras de operadores: C* álgebras",F4:F1440,"Hombre")</f>
        <v>1</v>
      </c>
      <c r="W106" s="32">
        <f>COUNTIFS(   D4:D1440,"Análisis funcional. Análisis de Fourier. Geometría infinito-dimensional. Algebras de operadores: C* álgebras",F4:F1440,"Mujer")</f>
        <v>0</v>
      </c>
      <c r="X106" s="33">
        <f>COUNTIFS(   A3:A1439,"2018", D4:D1440,"Análisis funcional. Análisis de Fourier. Geometría infinito-dimensional. Algebras de operadores: C* álgebras")</f>
        <v>0</v>
      </c>
      <c r="Y106" s="32">
        <f>COUNTIFS(   A3:A1439,"2019", D4:D1440,"Análisis funcional. Análisis de Fourier. Geometría infinito-dimensional. Algebras de operadores: C* álgebras")</f>
        <v>1</v>
      </c>
      <c r="Z106" s="32">
        <f>COUNTIFS(   A3:A1439,"2020", D4:D1440,"Análisis funcional. Análisis de Fourier. Geometría infinito-dimensional. Algebras de operadores: C* álgebras")</f>
        <v>0</v>
      </c>
      <c r="AA106" s="32">
        <f>COUNTIFS(   A3:A1439,"2021", D4:D1440,"Análisis funcional. Análisis de Fourier. Geometría infinito-dimensional. Algebras de operadores: C* álgebras")</f>
        <v>0</v>
      </c>
      <c r="AB106" s="32">
        <f>COUNTIFS(  A3:A1439,"2022", D3:D1439,"Análisis funcional. Análisis de Fourier. Geometría infinito-dimensional. Algebras de operadores: C* álgebras")</f>
        <v>0</v>
      </c>
      <c r="AC106" s="33">
        <f>COUNTIFS(   N3:N1439,"2018", D3:D1439,"Análisis funcional. Análisis de Fourier. Geometría infinito-dimensional. Algebras de operadores: C* álgebras")</f>
        <v>0</v>
      </c>
      <c r="AD106" s="32">
        <f>COUNTIFS(   N3:N1439,"2019", D3:D1439,"Análisis funcional. Análisis de Fourier. Geometría infinito-dimensional. Algebras de operadores: C* álgebras")</f>
        <v>1</v>
      </c>
      <c r="AE106" s="32">
        <f>COUNTIFS(   N3:N1439,"2020", D3:D1439,"Análisis funcional. Análisis de Fourier. Geometría infinito-dimensional. Algebras de operadores: C* álgebras")</f>
        <v>0</v>
      </c>
      <c r="AF106" s="32">
        <f>COUNTIFS(   N3:N1439,"2021", D3:D1439,"Análisis funcional. Análisis de Fourier. Geometría infinito-dimensional. Algebras de operadores: C* álgebras")</f>
        <v>0</v>
      </c>
      <c r="AG106" s="32">
        <f>COUNTIFS(   N3:N1439,"2022", D3:D1439,"Análisis funcional. Análisis de Fourier. Geometría infinito-dimensional. Algebras de operadores: C* álgebras")</f>
        <v>0</v>
      </c>
      <c r="AH106" s="32">
        <f>COUNTIFS(   D3:D1439,"Análisis funcional. Análisis de Fourier. Geometría infinito-dimensional. Algebras de operadores: C* álgebras",G3:G1439,"Sí")</f>
        <v>0</v>
      </c>
      <c r="AI106" s="32">
        <f>COUNTIFS(   D3:D1439,"Análisis funcional. Análisis de Fourier. Geometría infinito-dimensional. Algebras de operadores: C* álgebras",G3:G1439,"No")</f>
        <v>1</v>
      </c>
      <c r="AJ106" s="32">
        <f>SUMIFS( E3:E1439, D3:D1439,"Análisis funcional. Análisis de Fourier. Geometría infinito-dimensional. Algebras de operadores: C* álgebras",G3:G1439,"Sí")</f>
        <v>0</v>
      </c>
      <c r="AK106" s="32">
        <f>SUMIFS( E3:E1439, D3:D1439,"Análisis funcional. Análisis de Fourier. Geometría infinito-dimensional. Algebras de operadores: C* álgebras",G3:G1439,"No")</f>
        <v>29</v>
      </c>
      <c r="AL106" s="32">
        <f>COUNTIFS(   D3:D1439,"Análisis funcional. Análisis de Fourier. Geometría infinito-dimensional. Algebras de operadores: C* álgebras",H3:H1439,"Sí")</f>
        <v>1</v>
      </c>
      <c r="AM106" s="32">
        <f>COUNTIFS(   D3:D1439,"Análisis funcional. Análisis de Fourier. Geometría infinito-dimensional. Algebras de operadores: C* álgebras",I3:I1439,"Sí")</f>
        <v>1</v>
      </c>
      <c r="AN106" s="32">
        <f>COUNTIFS(   $D$4:$D$1440,"Análisis funcional. Análisis de Fourier. Geometría infinito-dimensional. Algebras de operadores: C* álgebras",$I$4:$I$1440,"No")</f>
        <v>0</v>
      </c>
      <c r="AO106" s="32">
        <f>SUMIFS( $E$4:$E$1440, $D$4:$D$1440,"Análisis funcional. Análisis de Fourier. Geometría infinito-dimensional. Algebras de operadores: C* álgebras",$I$4:$I$1440,"Sí")</f>
        <v>29</v>
      </c>
      <c r="AP106" s="32">
        <f>SUMIFS( E3:E1439, D3:D1439,"Análisis funcional. Análisis de Fourier. Geometría infinito-dimensional. Algebras de operadores: C* álgebras",I3:I1439,"No")</f>
        <v>0</v>
      </c>
      <c r="AQ106" s="32">
        <f>COUNTIFS(   D3:D1439,"Análisis funcional. Análisis de Fourier. Geometría infinito-dimensional. Algebras de operadores: C* álgebras",J3:J1439,"Sí")</f>
        <v>1</v>
      </c>
      <c r="AR106" s="32">
        <f>COUNTIFS(   D3:D1439,"Análisis funcional. Análisis de Fourier. Geometría infinito-dimensional. Algebras de operadores: C* álgebras",K3:K1439,"Sí")</f>
        <v>1</v>
      </c>
      <c r="AS106" s="32">
        <f>COUNTIFS(   D3:D1439,"Análisis funcional. Análisis de Fourier. Geometría infinito-dimensional. Algebras de operadores: C* álgebras",L3:L1439,"Sí")</f>
        <v>0</v>
      </c>
      <c r="AT106" s="32">
        <f>SUMIFS( E3:E1439, D3:D1439,"Análisis funcional. Análisis de Fourier. Geometría infinito-dimensional. Algebras de operadores: C* álgebras")</f>
        <v>29</v>
      </c>
      <c r="AU106" s="32">
        <f>SUMIFS( E3:E1439, F3:F1439,"Hombre", D3:D1439,"Análisis funcional. Análisis de Fourier. Geometría infinito-dimensional. Algebras de operadores: C* álgebras")</f>
        <v>29</v>
      </c>
      <c r="AV106" s="32">
        <f>SUMIFS( E3:E1439, F3:F1439,"Mujer", D3:D1439,"Análisis funcional. Análisis de Fourier. Geometría infinito-dimensional. Algebras de operadores: C* álgebras")</f>
        <v>0</v>
      </c>
      <c r="AW106" s="33">
        <f>SUMIFS( E3:E1439, A3:A1439,"2018", D3:D1439,"Análisis funcional. Análisis de Fourier. Geometría infinito-dimensional. Algebras de operadores: C* álgebras")</f>
        <v>0</v>
      </c>
      <c r="AX106" s="32">
        <f>SUMIFS( E3:E1439, A3:A1439,"2019", D3:D1439,"Análisis funcional. Análisis de Fourier. Geometría infinito-dimensional. Algebras de operadores: C* álgebras")</f>
        <v>29</v>
      </c>
      <c r="AY106" s="5">
        <f>SUMIFS( E4:E1440, A4:A1440,"2020", D4:D1440,"Análisis funcional. Análisis de Fourier. Geometría infinito-dimensional. Algebras de operadores: C* álgebras")</f>
        <v>0</v>
      </c>
      <c r="AZ106" s="5">
        <f>SUMIFS( E4:E1440, A4:A1440,"2021", D4:D1440,"Análisis funcional. Análisis de Fourier. Geometría infinito-dimensional. Algebras de operadores: C* álgebras")</f>
        <v>0</v>
      </c>
      <c r="BA106" s="5">
        <f>SUMIFS( E4:E1440, A4:A1440,"2022", D4:D1440,"Análisis funcional. Análisis de Fourier. Geometría infinito-dimensional. Algebras de operadores: C* álgebras")</f>
        <v>0</v>
      </c>
      <c r="BB106" s="19">
        <f>SUMIFS( E4:E1440, N4:N1440,"2018", D4:D1440,"Análisis funcional. Análisis de Fourier. Geometría infinito-dimensional. Algebras de operadores: C* álgebras")</f>
        <v>0</v>
      </c>
      <c r="BC106" s="5">
        <f>SUMIFS( E4:E1440, N4:N1440,"2019", D4:D1440,"Análisis funcional. Análisis de Fourier. Geometría infinito-dimensional. Algebras de operadores: C* álgebras")</f>
        <v>29</v>
      </c>
      <c r="BD106" s="5">
        <f>SUMIFS( E4:E1440, N4:N1440,"2020", D4:D1440,"Análisis funcional. Análisis de Fourier. Geometría infinito-dimensional. Algebras de operadores: C* álgebras")</f>
        <v>0</v>
      </c>
      <c r="BE106" s="5">
        <f>SUMIFS( E4:E1440, N4:N1440,"2021", D4:D1440,"Análisis funcional. Análisis de Fourier. Geometría infinito-dimensional. Algebras de operadores: C* álgebras")</f>
        <v>0</v>
      </c>
      <c r="BF106" s="5">
        <f>SUMIFS( E4:E1440, N4:N1440,"2022", D4:D1440,"Análisis funcional. Análisis de Fourier. Geometría infinito-dimensional. Algebras de operadores: C* álgebras")</f>
        <v>0</v>
      </c>
      <c r="BG106" s="14">
        <f>AVERAGEIFS( E3:E1439, D3:D1439,"Análisis funcional. Análisis de Fourier. Geometría infinito-dimensional. Algebras de operadores: C* álgebras")</f>
        <v>29</v>
      </c>
      <c r="BH106" s="14"/>
      <c r="BI106" s="14"/>
      <c r="BJ106" s="14" t="e">
        <f>AVERAGEIFS( E3:E1439, A3:A1439,"2020", D3:D1439,"Análisis funcional. Análisis de Fourier. Geometría infinito-dimensional. Algebras de operadores: C* álgebras")</f>
        <v>#DIV/0!</v>
      </c>
      <c r="BK106" s="14" t="e">
        <f>AVERAGEIFS( E4:E1440, A4:A1440,"2021", D4:D1440,"Análisis funcional. Análisis de Fourier. Geometría infinito-dimensional. Algebras de operadores: C* álgebras")</f>
        <v>#DIV/0!</v>
      </c>
      <c r="BL106" s="37"/>
      <c r="BM106" s="14"/>
      <c r="BN106" s="14"/>
      <c r="BO106" s="14"/>
      <c r="BP106" s="14"/>
      <c r="BQ106" s="14"/>
      <c r="BR106" s="14"/>
    </row>
    <row r="107" spans="1:70" ht="15" customHeight="1">
      <c r="A107" s="24">
        <v>2018</v>
      </c>
      <c r="B107" s="24" t="s">
        <v>136</v>
      </c>
      <c r="C107" s="24" t="s">
        <v>146</v>
      </c>
      <c r="D107" s="24" t="s">
        <v>149</v>
      </c>
      <c r="E107" s="23">
        <v>5</v>
      </c>
      <c r="F107" s="24" t="s">
        <v>207</v>
      </c>
      <c r="G107" s="24" t="s">
        <v>225</v>
      </c>
      <c r="H107" s="23" t="s">
        <v>226</v>
      </c>
      <c r="I107" s="24" t="s">
        <v>226</v>
      </c>
      <c r="J107" s="23" t="s">
        <v>226</v>
      </c>
      <c r="K107" s="24" t="s">
        <v>226</v>
      </c>
      <c r="L107" s="23"/>
      <c r="M107" s="26" t="s">
        <v>288</v>
      </c>
      <c r="N107" s="24">
        <v>2018</v>
      </c>
      <c r="O107" s="51" t="s">
        <v>457</v>
      </c>
      <c r="P107" s="52"/>
      <c r="Q107" s="52"/>
      <c r="R107" s="52"/>
      <c r="S107" s="52"/>
      <c r="T107" s="53"/>
      <c r="U107" s="32">
        <f>COUNTIFS(   D3:D1439,"Superficies minimales. Superficies de curvatura media constante. Desigualdades isoperimétricas. Teoría geométrica de la medida. Grupos de Heisenberg")</f>
        <v>1</v>
      </c>
      <c r="V107" s="32">
        <f>COUNTIFS(   D4:D1440,"Superficies minimales. Superficies de curvatura media constante. Desigualdades isoperimétricas. Teoría geométrica de la medida. Grupos de Heisenberg",F4:F1440,"Hombre")</f>
        <v>1</v>
      </c>
      <c r="W107" s="32">
        <f>COUNTIFS(   D4:D1440,"Superficies minimales. Superficies de curvatura media constante. Desigualdades isoperimétricas. Teoría geométrica de la medida. Grupos de Heisenberg",F4:F1440,"Mujer")</f>
        <v>0</v>
      </c>
      <c r="X107" s="33">
        <f>COUNTIFS(   A3:A1439,"2018", D4:D1440,"Superficies minimales. Superficies de curvatura media constante. Desigualdades isoperimétricas. Teoría geométrica de la medida. Grupos de Heisenberg")</f>
        <v>0</v>
      </c>
      <c r="Y107" s="32">
        <f>COUNTIFS(   A3:A1439,"2019", D4:D1440,"Superficies minimales. Superficies de curvatura media constante. Desigualdades isoperimétricas. Teoría geométrica de la medida. Grupos de Heisenberg")</f>
        <v>1</v>
      </c>
      <c r="Z107" s="32">
        <f>COUNTIFS(   A3:A1439,"2020", D4:D1440,"Superficies minimales. Superficies de curvatura media constante. Desigualdades isoperimétricas. Teoría geométrica de la medida. Grupos de Heisenberg")</f>
        <v>0</v>
      </c>
      <c r="AA107" s="32">
        <f>COUNTIFS(   A3:A1439,"2021", D4:D1440,"Superficies minimales. Superficies de curvatura media constante. Desigualdades isoperimétricas. Teoría geométrica de la medida. Grupos de Heisenberg")</f>
        <v>0</v>
      </c>
      <c r="AB107" s="32">
        <f>COUNTIFS(  A3:A1439,"2022", D3:D1439,"Superficies minimales. Superficies de curvatura media constante. Desigualdades isoperimétricas. Teoría geométrica de la medida. Grupos de Heisenberg")</f>
        <v>0</v>
      </c>
      <c r="AC107" s="33">
        <f>COUNTIFS(   N3:N1439,"2018", D3:D1439,"Superficies minimales. Superficies de curvatura media constante. Desigualdades isoperimétricas. Teoría geométrica de la medida. Grupos de Heisenberg")</f>
        <v>0</v>
      </c>
      <c r="AD107" s="32">
        <f>COUNTIFS(   N3:N1439,"2019", D3:D1439,"Superficies minimales. Superficies de curvatura media constante. Desigualdades isoperimétricas. Teoría geométrica de la medida. Grupos de Heisenberg")</f>
        <v>0</v>
      </c>
      <c r="AE107" s="32">
        <f>COUNTIFS(   N3:N1439,"2020", D3:D1439,"Superficies minimales. Superficies de curvatura media constante. Desigualdades isoperimétricas. Teoría geométrica de la medida. Grupos de Heisenberg")</f>
        <v>1</v>
      </c>
      <c r="AF107" s="32">
        <f>COUNTIFS(   N3:N1439,"2021", D3:D1439,"Superficies minimales. Superficies de curvatura media constante. Desigualdades isoperimétricas. Teoría geométrica de la medida. Grupos de Heisenberg")</f>
        <v>0</v>
      </c>
      <c r="AG107" s="32">
        <f>COUNTIFS(   N3:N1439,"2022", D3:D1439,"Superficies minimales. Superficies de curvatura media constante. Desigualdades isoperimétricas. Teoría geométrica de la medida. Grupos de Heisenberg")</f>
        <v>0</v>
      </c>
      <c r="AH107" s="32">
        <f>COUNTIFS(   D3:D1439,"Superficies minimales. Superficies de curvatura media constante. Desigualdades isoperimétricas. Teoría geométrica de la medida. Grupos de Heisenberg",G3:G1439,"Sí")</f>
        <v>1</v>
      </c>
      <c r="AI107" s="32">
        <f>COUNTIFS(   D3:D1439,"Superficies minimales. Superficies de curvatura media constante. Desigualdades isoperimétricas. Teoría geométrica de la medida. Grupos de Heisenberg",G3:G1439,"No")</f>
        <v>0</v>
      </c>
      <c r="AJ107" s="32">
        <f>SUMIFS( E3:E1439, D3:D1439,"Superficies minimales. Superficies de curvatura media constante. Desigualdades isoperimétricas. Teoría geométrica de la medida. Grupos de Heisenberg",G3:G1439,"Sí")</f>
        <v>6</v>
      </c>
      <c r="AK107" s="32">
        <f>SUMIFS( E3:E1439, D3:D1439,"Superficies minimales. Superficies de curvatura media constante. Desigualdades isoperimétricas. Teoría geométrica de la medida. Grupos de Heisenberg",G3:G1439,"No")</f>
        <v>0</v>
      </c>
      <c r="AL107" s="32">
        <f>COUNTIFS(   D3:D1439,"Superficies minimales. Superficies de curvatura media constante. Desigualdades isoperimétricas. Teoría geométrica de la medida. Grupos de Heisenberg",H3:H1439,"Sí")</f>
        <v>1</v>
      </c>
      <c r="AM107" s="32">
        <f>COUNTIFS(   D3:D1439,"Superficies minimales. Superficies de curvatura media constante. Desigualdades isoperimétricas. Teoría geométrica de la medida. Grupos de Heisenberg",I3:I1439,"Sí")</f>
        <v>1</v>
      </c>
      <c r="AN107" s="32">
        <f>COUNTIFS(   $D$4:$D$1440,"Superficies minimales. Superficies de curvatura media constante. Desigualdades isoperimétricas. Teoría geométrica de la medida. Grupos de Heisenberg",$I$4:$I$1440,"No")</f>
        <v>0</v>
      </c>
      <c r="AO107" s="32">
        <f>SUMIFS( $E$4:$E$1440, $D$4:$D$1440,"Superficies minimales. Superficies de curvatura media constante. Desigualdades isoperimétricas. Teoría geométrica de la medida. Grupos de Heisenberg",$I$4:$I$1440,"Sí")</f>
        <v>6</v>
      </c>
      <c r="AP107" s="32">
        <f>SUMIFS( E3:E1439, D3:D1439,"Superficies minimales. Superficies de curvatura media constante. Desigualdades isoperimétricas. Teoría geométrica de la medida. Grupos de Heisenberg",I3:I1439,"No")</f>
        <v>0</v>
      </c>
      <c r="AQ107" s="32">
        <f>COUNTIFS(   D3:D1439,"Superficies minimales. Superficies de curvatura media constante. Desigualdades isoperimétricas. Teoría geométrica de la medida. Grupos de Heisenberg",J3:J1439,"Sí")</f>
        <v>1</v>
      </c>
      <c r="AR107" s="32">
        <f>COUNTIFS(   D3:D1439,"Superficies minimales. Superficies de curvatura media constante. Desigualdades isoperimétricas. Teoría geométrica de la medida. Grupos de Heisenberg",K3:K1439,"Sí")</f>
        <v>0</v>
      </c>
      <c r="AS107" s="32">
        <f>COUNTIFS(   D3:D1439,"Superficies minimales. Superficies de curvatura media constante. Desigualdades isoperimétricas. Teoría geométrica de la medida. Grupos de Heisenberg",L3:L1439,"Sí")</f>
        <v>0</v>
      </c>
      <c r="AT107" s="32">
        <f>SUMIFS( E3:E1439, D3:D1439,"Superficies minimales. Superficies de curvatura media constante. Desigualdades isoperimétricas. Teoría geométrica de la medida. Grupos de Heisenberg")</f>
        <v>6</v>
      </c>
      <c r="AU107" s="32">
        <f>SUMIFS( E3:E1439, F3:F1439,"Hombre", D3:D1439,"Superficies minimales. Superficies de curvatura media constante. Desigualdades isoperimétricas. Teoría geométrica de la medida. Grupos de Heisenberg")</f>
        <v>6</v>
      </c>
      <c r="AV107" s="32">
        <f>SUMIFS( E3:E1439, F3:F1439,"Mujer", D3:D1439,"Superficies minimales. Superficies de curvatura media constante. Desigualdades isoperimétricas. Teoría geométrica de la medida. Grupos de Heisenberg")</f>
        <v>0</v>
      </c>
      <c r="AW107" s="33">
        <f>SUMIFS( E3:E1439, A3:A1439,"2018", D3:D1439,"Superficies minimales. Superficies de curvatura media constante. Desigualdades isoperimétricas. Teoría geométrica de la medida. Grupos de Heisenberg")</f>
        <v>0</v>
      </c>
      <c r="AX107" s="32">
        <f>SUMIFS( E3:E1439, A3:A1439,"2019", D3:D1439,"Superficies minimales. Superficies de curvatura media constante. Desigualdades isoperimétricas. Teoría geométrica de la medida. Grupos de Heisenberg")</f>
        <v>6</v>
      </c>
      <c r="AY107" s="5">
        <f>SUMIFS( E4:E1440, A4:A1440,"2020", D4:D1440,"Superficies minimales. Superficies de curvatura media constante. Desigualdades isoperimétricas. Teoría geométrica de la medida. Grupos de Heisenberg")</f>
        <v>0</v>
      </c>
      <c r="AZ107" s="5">
        <f>SUMIFS( E4:E1440, A4:A1440,"2021", D4:D1440,"Superficies minimales. Superficies de curvatura media constante. Desigualdades isoperimétricas. Teoría geométrica de la medida. Grupos de Heisenberg")</f>
        <v>0</v>
      </c>
      <c r="BA107" s="5">
        <f>SUMIFS( E4:E1440, A4:A1440,"2022", D4:D1440,"Superficies minimales. Superficies de curvatura media constante. Desigualdades isoperimétricas. Teoría geométrica de la medida. Grupos de Heisenberg")</f>
        <v>0</v>
      </c>
      <c r="BB107" s="19">
        <f>SUMIFS( E4:E1440, N4:N1440,"2018", D4:D1440,"Superficies minimales. Superficies de curvatura media constante. Desigualdades isoperimétricas. Teoría geométrica de la medida. Grupos de Heisenberg")</f>
        <v>0</v>
      </c>
      <c r="BC107" s="5">
        <f>SUMIFS( E4:E1440, N4:N1440,"2019", D4:D1440,"Superficies minimales. Superficies de curvatura media constante. Desigualdades isoperimétricas. Teoría geométrica de la medida. Grupos de Heisenberg")</f>
        <v>0</v>
      </c>
      <c r="BD107" s="5">
        <f>SUMIFS( E4:E1440, N4:N1440,"2020", D4:D1440,"Superficies minimales. Superficies de curvatura media constante. Desigualdades isoperimétricas. Teoría geométrica de la medida. Grupos de Heisenberg")</f>
        <v>6</v>
      </c>
      <c r="BE107" s="5">
        <f>SUMIFS( E4:E1440, N4:N1440,"2021", D4:D1440,"Superficies minimales. Superficies de curvatura media constante. Desigualdades isoperimétricas. Teoría geométrica de la medida. Grupos de Heisenberg")</f>
        <v>0</v>
      </c>
      <c r="BF107" s="5">
        <f>SUMIFS( E4:E1440, N4:N1440,"2022", D4:D1440,"Superficies minimales. Superficies de curvatura media constante. Desigualdades isoperimétricas. Teoría geométrica de la medida. Grupos de Heisenberg")</f>
        <v>0</v>
      </c>
      <c r="BG107" s="14">
        <f>AVERAGEIFS( E3:E1439, D3:D1439,"Superficies minimales. Superficies de curvatura media constante. Desigualdades isoperimétricas. Teoría geométrica de la medida. Grupos de Heisenberg")</f>
        <v>6</v>
      </c>
      <c r="BH107" s="14"/>
      <c r="BI107" s="14"/>
      <c r="BJ107" s="14" t="e">
        <f>AVERAGEIFS( E3:E1439, A3:A1439,"2020", D3:D1439,"Superficies minimales. Superficies de curvatura media constante. Desigualdades isoperimétricas. Teoría geométrica de la medida. Grupos de Heisenberg")</f>
        <v>#DIV/0!</v>
      </c>
      <c r="BK107" s="14" t="e">
        <f>AVERAGEIFS( E4:E1440, A4:A1440,"2021", D4:D1440,"Superficies minimales. Superficies de curvatura media constante. Desigualdades isoperimétricas. Teoría geométrica de la medida. Grupos de Heisenberg")</f>
        <v>#DIV/0!</v>
      </c>
      <c r="BL107" s="37" t="e">
        <f>AVERAGEIFS( E4:E1440, A4:A1440,"2022", D4:D1440,"Superficies minimales. Superficies de curvatura media constante. Desigualdades isoperimétricas. Teoría geométrica de la medida. Grupos de Heisenberg")</f>
        <v>#DIV/0!</v>
      </c>
      <c r="BM107" s="14"/>
      <c r="BN107" s="14"/>
      <c r="BO107" s="14"/>
      <c r="BP107" s="14"/>
      <c r="BQ107" s="14"/>
      <c r="BR107" s="14"/>
    </row>
    <row r="108" spans="1:70" s="34" customFormat="1" ht="15" customHeight="1">
      <c r="A108" s="24">
        <v>2018</v>
      </c>
      <c r="B108" s="24" t="s">
        <v>4</v>
      </c>
      <c r="C108" s="24" t="s">
        <v>5</v>
      </c>
      <c r="D108" s="24" t="s">
        <v>12</v>
      </c>
      <c r="E108" s="23">
        <v>2</v>
      </c>
      <c r="F108" s="24" t="s">
        <v>207</v>
      </c>
      <c r="G108" s="24" t="s">
        <v>225</v>
      </c>
      <c r="H108" s="23" t="s">
        <v>226</v>
      </c>
      <c r="I108" s="24" t="s">
        <v>225</v>
      </c>
      <c r="J108" s="23" t="s">
        <v>226</v>
      </c>
      <c r="K108" s="24" t="s">
        <v>226</v>
      </c>
      <c r="L108" s="23"/>
      <c r="M108" s="26" t="s">
        <v>289</v>
      </c>
      <c r="N108" s="24">
        <v>2018</v>
      </c>
      <c r="O108" s="51" t="s">
        <v>319</v>
      </c>
      <c r="P108" s="52"/>
      <c r="Q108" s="52"/>
      <c r="R108" s="52"/>
      <c r="S108" s="52"/>
      <c r="T108" s="53"/>
      <c r="U108" s="32">
        <f>COUNTIFS(   D4:D1440,"Resolución numérica de EDP. Ecuaciones no lineales y métodos numéricos. Modelado numérico de fluidos biológicos y geofísicos")</f>
        <v>2</v>
      </c>
      <c r="V108" s="32">
        <f>COUNTIFS(   D5:D1441,"Resolución numérica de EDP. Ecuaciones no lineales y métodos numéricos. Modelado numérico de fluidos biológicos y geofísicos",F5:F1441,"Hombre")</f>
        <v>1</v>
      </c>
      <c r="W108" s="32">
        <f>COUNTIFS(   D5:D1441,"Resolución numérica de EDP. Ecuaciones no lineales y métodos numéricos. Modelado numérico de fluidos biológicos y geofísicos",F5:F1441,"Mujer")</f>
        <v>1</v>
      </c>
      <c r="X108" s="33">
        <f>COUNTIFS(   A4:A1440,"2018", D5:D1441,"Resolución numérica de EDP. Ecuaciones no lineales y métodos numéricos. Modelado numérico de fluidos biológicos y geofísicos")</f>
        <v>1</v>
      </c>
      <c r="Y108" s="32">
        <f>COUNTIFS(   A4:A1440,"2019", D5:D1441,"Resolución numérica de EDP. Ecuaciones no lineales y métodos numéricos. Modelado numérico de fluidos biológicos y geofísicos")</f>
        <v>0</v>
      </c>
      <c r="Z108" s="32">
        <f>COUNTIFS(   A4:A1440,"2020", D5:D1441,"Resolución numérica de EDP. Ecuaciones no lineales y métodos numéricos. Modelado numérico de fluidos biológicos y geofísicos")</f>
        <v>0</v>
      </c>
      <c r="AA108" s="32">
        <f>COUNTIFS(   A4:A1440,"2021", D5:D1441,"Resolución numérica de EDP. Ecuaciones no lineales y métodos numéricos. Modelado numérico de fluidos biológicos y geofísicos")</f>
        <v>1</v>
      </c>
      <c r="AB108" s="32">
        <f>COUNTIFS(  A4:A1440,"2022", D4:D1440,"Resolución numérica de EDP. Ecuaciones no lineales y métodos numéricos. Modelado numérico de fluidos biológicos y geofísicos")</f>
        <v>0</v>
      </c>
      <c r="AC108" s="33">
        <f>COUNTIFS(   N4:N1440,"2018", D4:D1440,"Resolución numérica de EDP. Ecuaciones no lineales y métodos numéricos. Modelado numérico de fluidos biológicos y geofísicos")</f>
        <v>0</v>
      </c>
      <c r="AD108" s="32">
        <f>COUNTIFS(   N4:N1440,"2019", D4:D1440,"Resolución numérica de EDP. Ecuaciones no lineales y métodos numéricos. Modelado numérico de fluidos biológicos y geofísicos")</f>
        <v>1</v>
      </c>
      <c r="AE108" s="32">
        <f>COUNTIFS(   N4:N1440,"2020", D4:D1440,"Resolución numérica de EDP. Ecuaciones no lineales y métodos numéricos. Modelado numérico de fluidos biológicos y geofísicos")</f>
        <v>0</v>
      </c>
      <c r="AF108" s="32">
        <f>COUNTIFS(   N4:N1440,"2021", D4:D1440,"Resolución numérica de EDP. Ecuaciones no lineales y métodos numéricos. Modelado numérico de fluidos biológicos y geofísicos")</f>
        <v>1</v>
      </c>
      <c r="AG108" s="32">
        <f>COUNTIFS(   N4:N1440,"2022", D4:D1440,"Resolución numérica de EDP. Ecuaciones no lineales y métodos numéricos. Modelado numérico de fluidos biológicos y geofísicos")</f>
        <v>0</v>
      </c>
      <c r="AH108" s="32">
        <f>COUNTIFS(   D4:D1440,"Resolución numérica de EDP. Ecuaciones no lineales y métodos numéricos. Modelado numérico de fluidos biológicos y geofísicos",G4:G1440,"Sí")</f>
        <v>2</v>
      </c>
      <c r="AI108" s="32">
        <f>COUNTIFS(   D4:D1440,"Resolución numérica de EDP. Ecuaciones no lineales y métodos numéricos. Modelado numérico de fluidos biológicos y geofísicos",G4:G1440,"No")</f>
        <v>0</v>
      </c>
      <c r="AJ108" s="32">
        <f>SUMIFS( E4:E1440, D4:D1440,"Resolución numérica de EDP. Ecuaciones no lineales y métodos numéricos. Modelado numérico de fluidos biológicos y geofísicos",G4:G1440,"Sí")</f>
        <v>12</v>
      </c>
      <c r="AK108" s="32">
        <f>SUMIFS( E4:E1440, D4:D1440,"Resolución numérica de EDP. Ecuaciones no lineales y métodos numéricos. Modelado numérico de fluidos biológicos y geofísicos",G4:G1440,"No")</f>
        <v>0</v>
      </c>
      <c r="AL108" s="32">
        <f>COUNTIFS(   D4:D1440,"Resolución numérica de EDP. Ecuaciones no lineales y métodos numéricos. Modelado numérico de fluidos biológicos y geofísicos",H4:H1440,"Sí")</f>
        <v>1</v>
      </c>
      <c r="AM108" s="32">
        <f>COUNTIFS(   D4:D1440,"Resolución numérica de EDP. Ecuaciones no lineales y métodos numéricos. Modelado numérico de fluidos biológicos y geofísicos",I4:I1440,"Sí")</f>
        <v>0</v>
      </c>
      <c r="AN108" s="32">
        <f>COUNTIFS(   $D$4:$D$1440,"Resolución numérica de EDP. Ecuaciones no lineales y métodos numéricos. Modelado numérico de fluidos biológicos y geofísicos",$I$4:$I$1440,"No")</f>
        <v>2</v>
      </c>
      <c r="AO108" s="32">
        <f>SUMIFS( $E$4:$E$1440, $D$4:$D$1440,"Resolución numérica de EDP. Ecuaciones no lineales y métodos numéricos. Modelado numérico de fluidos biológicos y geofísicos",$I$4:$I$1440,"Sí")</f>
        <v>0</v>
      </c>
      <c r="AP108" s="32">
        <f>SUMIFS( E4:E1440, D4:D1440,"Resolución numérica de EDP. Ecuaciones no lineales y métodos numéricos. Modelado numérico de fluidos biológicos y geofísicos",I4:I1440,"No")</f>
        <v>12</v>
      </c>
      <c r="AQ108" s="32">
        <f>COUNTIFS(   D4:D1440,"Resolución numérica de EDP. Ecuaciones no lineales y métodos numéricos. Modelado numérico de fluidos biológicos y geofísicos",J4:J1440,"Sí")</f>
        <v>2</v>
      </c>
      <c r="AR108" s="32">
        <f>COUNTIFS(   D4:D1440,"Resolución numérica de EDP. Ecuaciones no lineales y métodos numéricos. Modelado numérico de fluidos biológicos y geofísicos",K4:K1440,"Sí")</f>
        <v>0</v>
      </c>
      <c r="AS108" s="32">
        <f>COUNTIFS(   D4:D1440,"Resolución numérica de EDP. Ecuaciones no lineales y métodos numéricos. Modelado numérico de fluidos biológicos y geofísicos",L4:L1440,"Sí")</f>
        <v>0</v>
      </c>
      <c r="AT108" s="32">
        <f>SUMIFS( E4:E1440, D4:D1440,"Resolución numérica de EDP. Ecuaciones no lineales y métodos numéricos. Modelado numérico de fluidos biológicos y geofísicos")</f>
        <v>12</v>
      </c>
      <c r="AU108" s="32">
        <f>SUMIFS( E4:E1440, F4:F1440,"Hombre", D4:D1440,"Resolución numérica de EDP. Ecuaciones no lineales y métodos numéricos. Modelado numérico de fluidos biológicos y geofísicos")</f>
        <v>12</v>
      </c>
      <c r="AV108" s="32">
        <f>SUMIFS( E4:E1440, F4:F1440,"Mujer", D4:D1440,"Resolución numérica de EDP. Ecuaciones no lineales y métodos numéricos. Modelado numérico de fluidos biológicos y geofísicos")</f>
        <v>0</v>
      </c>
      <c r="AW108" s="33">
        <f>SUMIFS( E4:E1440, A4:A1440,"2018", D4:D1440,"Resolución numérica de EDP. Ecuaciones no lineales y métodos numéricos. Modelado numérico de fluidos biológicos y geofísicos")</f>
        <v>0</v>
      </c>
      <c r="AX108" s="32">
        <f>SUMIFS( E4:E1440, A4:A1440,"2019", D4:D1440,"Resolución numérica de EDP. Ecuaciones no lineales y métodos numéricos. Modelado numérico de fluidos biológicos y geofísicos")</f>
        <v>0</v>
      </c>
      <c r="AY108" s="5">
        <f>SUMIFS( E5:E1441, A5:A1441,"2020", D5:D1441,"Resolución numérica de EDP. Ecuaciones no lineales y métodos numéricos. Modelado numérico de fluidos biológicos y geofísicos")</f>
        <v>0</v>
      </c>
      <c r="AZ108" s="5">
        <f>SUMIFS( E5:E1441, A5:A1441,"2021", D5:D1441,"Resolución numérica de EDP. Ecuaciones no lineales y métodos numéricos. Modelado numérico de fluidos biológicos y geofísicos")</f>
        <v>12</v>
      </c>
      <c r="BA108" s="5">
        <f>SUMIFS( E5:E1441, A5:A1441,"2022", D5:D1441,"Resolución numérica de EDP. Ecuaciones no lineales y métodos numéricos. Modelado numérico de fluidos biológicos y geofísicos")</f>
        <v>0</v>
      </c>
      <c r="BB108" s="19">
        <f>SUMIFS( E5:E1441, N5:N1441,"2018", D5:D1441,"Resolución numérica de EDP. Ecuaciones no lineales y métodos numéricos. Modelado numérico de fluidos biológicos y geofísicos")</f>
        <v>0</v>
      </c>
      <c r="BC108" s="5">
        <f>SUMIFS( E5:E1441, N5:N1441,"2019", D5:D1441,"Resolución numérica de EDP. Ecuaciones no lineales y métodos numéricos. Modelado numérico de fluidos biológicos y geofísicos")</f>
        <v>0</v>
      </c>
      <c r="BD108" s="5">
        <f>SUMIFS( E5:E1441, N5:N1441,"2020", D5:D1441,"Sistemas dinámicos. Dinámica hamiltoniana. Teoría cualitativa de ecuaciones diferenciales. Optimización y métodos variacionales. Análisis no lineal y ecuaciones elípticas")</f>
        <v>10</v>
      </c>
      <c r="BE108" s="5">
        <f>SUMIFS( E5:E1441, N5:N1441,"2021", D5:D1441,"Resolución numérica de EDP. Ecuaciones no lineales y métodos numéricos. Modelado numérico de fluidos biológicos y geofísicos")</f>
        <v>12</v>
      </c>
      <c r="BF108" s="5">
        <f>SUMIFS( E5:E1441, N5:N1441,"2022", D5:D1441,"Resolución numérica de EDP. Ecuaciones no lineales y métodos numéricos. Modelado numérico de fluidos biológicos y geofísicos")</f>
        <v>0</v>
      </c>
      <c r="BG108" s="14">
        <f>AVERAGEIFS( E4:E1440, D4:D1440,"Resolución numérica de EDP. Ecuaciones no lineales y métodos numéricos. Modelado numérico de fluidos biológicos y geofísicos")</f>
        <v>12</v>
      </c>
      <c r="BH108" s="35"/>
      <c r="BI108" s="35"/>
      <c r="BJ108" s="14" t="e">
        <f>AVERAGEIFS( E4:E1440, A4:A1440,"2020", D4:D1440,"Resolución numérica de EDP. Ecuaciones no lineales y métodos numéricos. Modelado numérico de fluidos biológicos y geofísicos")</f>
        <v>#DIV/0!</v>
      </c>
      <c r="BK108" s="14">
        <f>AVERAGEIFS( E5:E1441, A5:A1441,"2021", D5:D1441,"Resolución numérica de EDP. Ecuaciones no lineales y métodos numéricos. Modelado numérico de fluidos biológicos y geofísicos")</f>
        <v>12</v>
      </c>
      <c r="BL108" s="37" t="e">
        <f>AVERAGEIFS( E5:E1441, A5:A1441,"2022", D5:D1441,"Resolución numérica de EDP. Ecuaciones no lineales y métodos numéricos. Modelado numérico de fluidos biológicos y geofísicos")</f>
        <v>#DIV/0!</v>
      </c>
      <c r="BM108" s="35"/>
      <c r="BN108" s="35"/>
      <c r="BO108" s="35"/>
      <c r="BP108" s="35"/>
      <c r="BQ108" s="35"/>
      <c r="BR108" s="35"/>
    </row>
    <row r="109" spans="1:70" ht="15" customHeight="1">
      <c r="A109" s="24">
        <v>2018</v>
      </c>
      <c r="B109" s="24" t="s">
        <v>136</v>
      </c>
      <c r="C109" s="24" t="s">
        <v>176</v>
      </c>
      <c r="D109" s="27" t="s">
        <v>178</v>
      </c>
      <c r="E109" s="23">
        <v>1</v>
      </c>
      <c r="F109" s="24" t="s">
        <v>207</v>
      </c>
      <c r="G109" s="24" t="s">
        <v>225</v>
      </c>
      <c r="H109" s="23" t="s">
        <v>226</v>
      </c>
      <c r="I109" s="24" t="s">
        <v>225</v>
      </c>
      <c r="J109" s="23" t="s">
        <v>226</v>
      </c>
      <c r="K109" s="24" t="s">
        <v>226</v>
      </c>
      <c r="L109" s="23"/>
      <c r="M109" s="26" t="s">
        <v>290</v>
      </c>
      <c r="N109" s="24">
        <v>2018</v>
      </c>
      <c r="O109" s="79" t="s">
        <v>112</v>
      </c>
      <c r="P109" s="77"/>
      <c r="Q109" s="77"/>
      <c r="R109" s="77"/>
      <c r="S109" s="77"/>
      <c r="T109" s="78"/>
      <c r="U109" s="5">
        <f>COUNTIFS(   D4:D1440,"Teoría cuántica de campos no lineales. Representación de grupos de dimensión infinita. Cuantización de teorías Gauge. Gravedad cuántica. Física Matemática")</f>
        <v>0</v>
      </c>
      <c r="V109" s="5">
        <f>COUNTIFS(   D4:D1440,"Teoría cuántica de campos no lineales. Representación de grupos de dimensión infinita. Cuantización de teorías Gauge. Gravedad cuántica. Física Matemática",F4:F1440,"Hombre")</f>
        <v>0</v>
      </c>
      <c r="W109" s="5">
        <f>COUNTIFS(   D4:D1440,"Teoría cuántica de campos no lineales. Representación de grupos de dimensión infinita. Cuantización de teorías Gauge. Gravedad cuántica. Física Matemática",F4:F1440,"Mujer")</f>
        <v>0</v>
      </c>
      <c r="X109" s="19">
        <f>COUNTIFS(   A4:A1440,"2018", D4:D1440,"Teoría cuántica de campos no lineales. Representación de grupos de dimensión infinita. Cuantización de teorías Gauge. Gravedad cuántica. Física Matemática")</f>
        <v>0</v>
      </c>
      <c r="Y109" s="5">
        <f>COUNTIFS(   A4:A1440,"2019", D4:D1440,"Teoría cuántica de campos no lineales. Representación de grupos de dimensión infinita. Cuantización de teorías Gauge. Gravedad cuántica. Física Matemática")</f>
        <v>0</v>
      </c>
      <c r="Z109" s="5">
        <f>COUNTIFS(   A4:A1440,"2020", D4:D1440,"Teoría cuántica de campos no lineales. Representación de grupos de dimensión infinita. Cuantización de teorías Gauge. Gravedad cuántica. Física Matemática")</f>
        <v>0</v>
      </c>
      <c r="AA109" s="5">
        <f>COUNTIFS(   A4:A1440,"2021", D4:D1440,"Teoría cuántica de campos no lineales. Representación de grupos de dimensión infinita. Cuantización de teorías Gauge. Gravedad cuántica. Física Matemática")</f>
        <v>0</v>
      </c>
      <c r="AB109" s="5">
        <f>COUNTIFS(  A4:A1440,"2022", D4:D1440,"Teoría cuántica de campos no lineales. Representación de grupos de dimensión infinita. Cuantización de teorías Gauge. Gravedad cuántica. Física Matemática")</f>
        <v>0</v>
      </c>
      <c r="AC109" s="19">
        <f>COUNTIFS(   N4:N1440,"2018", D4:D1440,"Teoría cuántica de campos no lineales. Representación de grupos de dimensión infinita. Cuantización de teorías Gauge. Gravedad cuántica. Física Matemática")</f>
        <v>0</v>
      </c>
      <c r="AD109" s="5">
        <f>COUNTIFS(   N4:N1440,"2019", D4:D1440,"Teoría cuántica de campos no lineales. Representación de grupos de dimensión infinita. Cuantización de teorías Gauge. Gravedad cuántica. Física Matemática")</f>
        <v>0</v>
      </c>
      <c r="AE109" s="5">
        <f>COUNTIFS(   N4:N1440,"2020", D4:D1440,"Teoría cuántica de campos no lineales. Representación de grupos de dimensión infinita. Cuantización de teorías Gauge. Gravedad cuántica. Física Matemática")</f>
        <v>0</v>
      </c>
      <c r="AF109" s="5">
        <f>COUNTIFS(   N4:N1440,"2021", D4:D1440,"Teoría cuántica de campos no lineales. Representación de grupos de dimensión infinita. Cuantización de teorías Gauge. Gravedad cuántica. Física Matemática")</f>
        <v>0</v>
      </c>
      <c r="AG109" s="5">
        <f>COUNTIFS(   N4:N1440,"2022", D4:D1440,"Teoría cuántica de campos no lineales. Representación de grupos de dimensión infinita. Cuantización de teorías Gauge. Gravedad cuántica. Física Matemática")</f>
        <v>0</v>
      </c>
      <c r="AH109" s="5">
        <f>COUNTIFS(   D4:D1440,"Teoría cuántica de campos no lineales. Representación de grupos de dimensión infinita. Cuantización de teorías Gauge. Gravedad cuántica. Física Matemática",G4:G1440,"Sí")</f>
        <v>0</v>
      </c>
      <c r="AI109" s="5">
        <f>COUNTIFS(   D4:D1440,"Teoría cuántica de campos no lineales. Representación de grupos de dimensión infinita. Cuantización de teorías Gauge. Gravedad cuántica. Física Matemática",G4:G1440,"No")</f>
        <v>0</v>
      </c>
      <c r="AJ109" s="5">
        <f>SUMIFS( E4:E1440, D4:D1440,"Teoría cuántica de campos no lineales. Representación de grupos de dimensión infinita. Cuantización de teorías Gauge. Gravedad cuántica. Física Matemática",G4:G1440,"Sí")</f>
        <v>0</v>
      </c>
      <c r="AK109" s="5">
        <f>SUMIFS( E4:E1440, D4:D1440,"Teoría cuántica de campos no lineales. Representación de grupos de dimensión infinita. Cuantización de teorías Gauge. Gravedad cuántica. Física Matemática",G4:G1440,"No")</f>
        <v>0</v>
      </c>
      <c r="AL109" s="5">
        <f>COUNTIFS(   D4:D1440,"Teoría cuántica de campos no lineales. Representación de grupos de dimensión infinita. Cuantización de teorías Gauge. Gravedad cuántica. Física Matemática",H4:H1440,"Sí")</f>
        <v>0</v>
      </c>
      <c r="AM109" s="5">
        <f>COUNTIFS(   D4:D1440,"Teoría cuántica de campos no lineales. Representación de grupos de dimensión infinita. Cuantización de teorías Gauge. Gravedad cuántica. Física Matemática",I4:I1440,"Sí")</f>
        <v>0</v>
      </c>
      <c r="AN109" s="5">
        <f>COUNTIFS(   D4:D1440,"Teoría cuántica de campos no lineales. Representación de grupos de dimensión infinita. Cuantización de teorías Gauge. Gravedad cuántica. Física Matemática",I4:I1440,"No")</f>
        <v>0</v>
      </c>
      <c r="AO109" s="5">
        <f>SUMIFS( E4:E1440, D4:D1440,"Teoría cuántica de campos no lineales. Representación de grupos de dimensión infinita. Cuantización de teorías Gauge. Gravedad cuántica. Física Matemática",I4:I1440,"Sí")</f>
        <v>0</v>
      </c>
      <c r="AP109" s="5">
        <f>SUMIFS( E4:E1440, D4:D1440,"Teoría cuántica de campos no lineales. Representación de grupos de dimensión infinita. Cuantización de teorías Gauge. Gravedad cuántica. Física Matemática",I4:I1440,"No")</f>
        <v>0</v>
      </c>
      <c r="AQ109" s="5">
        <f>COUNTIFS(   D4:D1440,"Teoría cuántica de campos no lineales. Representación de grupos de dimensión infinita. Cuantización de teorías Gauge. Gravedad cuántica. Física Matemática",J4:J1440,"Sí")</f>
        <v>0</v>
      </c>
      <c r="AR109" s="5">
        <f>COUNTIFS(   D4:D1440,"Teoría cuántica de campos no lineales. Representación de grupos de dimensión infinita. Cuantización de teorías Gauge. Gravedad cuántica. Física Matemática",K4:K1440,"Sí")</f>
        <v>0</v>
      </c>
      <c r="AS109" s="5">
        <f>COUNTIFS(   D4:D1440,"Teoría cuántica de campos no lineales. Representación de grupos de dimensión infinita. Cuantización de teorías Gauge. Gravedad cuántica. Física Matemática",L4:L1440,"Sí")</f>
        <v>0</v>
      </c>
      <c r="AT109" s="5">
        <f>SUMIFS( E4:E1440, D4:D1440,"Teoría cuántica de campos no lineales. Representación de grupos de dimensión infinita. Cuantización de teorías Gauge. Gravedad cuántica. Física Matemática")</f>
        <v>0</v>
      </c>
      <c r="AU109" s="5">
        <f>SUMIFS( E4:E1440, F4:F1440,"Hombre", D4:D1440,"Teoría cuántica de campos no lineales. Representación de grupos de dimensión infinita. Cuantización de teorías Gauge. Gravedad cuántica. Física Matemática")</f>
        <v>0</v>
      </c>
      <c r="AV109" s="5">
        <f>SUMIFS( E4:E1440, F4:F1440,"Mujer", D4:D1440,"Teoría cuántica de campos no lineales. Representación de grupos de dimensión infinita. Cuantización de teorías Gauge. Gravedad cuántica. Física Matemática")</f>
        <v>0</v>
      </c>
      <c r="AW109" s="19">
        <f>SUMIFS( E4:E1440, A4:A1440,"2018", D4:D1440,"Teoría cuántica de campos no lineales. Representación de grupos de dimensión infinita. Cuantización de teorías Gauge. Gravedad cuántica. Física Matemática")</f>
        <v>0</v>
      </c>
      <c r="AX109" s="5">
        <f>SUMIFS( E4:E1440, A4:A1440,"2019", D4:D1440,"Teoría cuántica de campos no lineales. Representación de grupos de dimensión infinita. Cuantización de teorías Gauge. Gravedad cuántica. Física Matemática")</f>
        <v>0</v>
      </c>
      <c r="AY109" s="5">
        <f>SUMIFS( E4:E1440, A4:A1440,"2020", D4:D1440,"Teoría cuántica de campos no lineales. Representación de grupos de dimensión infinita. Cuantización de teorías Gauge. Gravedad cuántica. Física Matemática")</f>
        <v>0</v>
      </c>
      <c r="AZ109" s="5">
        <f>SUMIFS( E4:E1440, A4:A1440,"2021", D4:D1440,"Teoría cuántica de campos no lineales. Representación de grupos de dimensión infinita. Cuantización de teorías Gauge. Gravedad cuántica. Física Matemática")</f>
        <v>0</v>
      </c>
      <c r="BA109" s="5">
        <f>SUMIFS( E4:E1440, A4:A1440,"2022", D4:D1440,"Teoría cuántica de campos no lineales. Representación de grupos de dimensión infinita. Cuantización de teorías Gauge. Gravedad cuántica. Física Matemática")</f>
        <v>0</v>
      </c>
      <c r="BB109" s="19">
        <f>SUMIFS( E4:E1440, N4:N1440,"2018", D4:D1440,"Teoría cuántica de campos no lineales. Representación de grupos de dimensión infinita. Cuantización de teorías Gauge. Gravedad cuántica. Física Matemática")</f>
        <v>0</v>
      </c>
      <c r="BC109" s="5">
        <f>SUMIFS( E4:E1440, N4:N1440,"2019", D4:D1440,"Teoría cuántica de campos no lineales. Representación de grupos de dimensión infinita. Cuantización de teorías Gauge. Gravedad cuántica. Física Matemática")</f>
        <v>0</v>
      </c>
      <c r="BD109" s="5">
        <f>SUMIFS( E4:E1440, N4:N1440,"2020", D4:D1440,"Teoría cuántica de campos no lineales. Representación de grupos de dimensión infinita. Cuantización de teorías Gauge. Gravedad cuántica. Física Matemática")</f>
        <v>0</v>
      </c>
      <c r="BE109" s="5">
        <f>SUMIFS( E4:E1440, N4:N1440,"2021", D4:D1440,"Teoría cuántica de campos no lineales. Representación de grupos de dimensión infinita. Cuantización de teorías Gauge. Gravedad cuántica. Física Matemática")</f>
        <v>0</v>
      </c>
      <c r="BF109" s="5">
        <f>SUMIFS( E4:E1440, N4:N1440,"2022", D4:D1440,"Teoría cuántica de campos no lineales. Representación de grupos de dimensión infinita. Cuantización de teorías Gauge. Gravedad cuántica. Física Matemática")</f>
        <v>0</v>
      </c>
      <c r="BG109" s="14" t="e">
        <f>AVERAGEIFS( E4:E1440, D4:D1440,"Teoría cuántica de campos no lineales. Representación de grupos de dimensión infinita. Cuantización de teorías Gauge. Gravedad cuántica. Física Matemática")</f>
        <v>#DIV/0!</v>
      </c>
      <c r="BH109" s="14">
        <v>0</v>
      </c>
      <c r="BI109" s="14">
        <v>0</v>
      </c>
      <c r="BJ109" s="14" t="e">
        <f>AVERAGEIFS( E4:E1440, A4:A1440,"2020", D4:D1440,"Teoría cuántica de campos no lineales. Representación de grupos de dimensión infinita. Cuantización de teorías Gauge. Gravedad cuántica. Física Matemática")</f>
        <v>#DIV/0!</v>
      </c>
      <c r="BK109" s="14">
        <v>0</v>
      </c>
      <c r="BL109" s="37">
        <v>0</v>
      </c>
      <c r="BM109" s="14">
        <v>18</v>
      </c>
      <c r="BN109" s="14">
        <v>0</v>
      </c>
      <c r="BO109" s="14">
        <v>0</v>
      </c>
      <c r="BP109" s="14">
        <v>18</v>
      </c>
      <c r="BQ109" s="14">
        <v>0</v>
      </c>
      <c r="BR109" s="14">
        <v>0</v>
      </c>
    </row>
    <row r="110" spans="1:70" ht="15" customHeight="1">
      <c r="A110" s="24">
        <v>2018</v>
      </c>
      <c r="B110" s="24" t="s">
        <v>4</v>
      </c>
      <c r="C110" s="24" t="s">
        <v>203</v>
      </c>
      <c r="D110" s="24" t="s">
        <v>42</v>
      </c>
      <c r="E110" s="23">
        <v>16</v>
      </c>
      <c r="F110" s="24" t="s">
        <v>211</v>
      </c>
      <c r="G110" s="24" t="s">
        <v>225</v>
      </c>
      <c r="H110" s="23" t="s">
        <v>226</v>
      </c>
      <c r="I110" s="24" t="s">
        <v>226</v>
      </c>
      <c r="J110" s="23" t="s">
        <v>226</v>
      </c>
      <c r="K110" s="24" t="s">
        <v>226</v>
      </c>
      <c r="L110" s="23"/>
      <c r="M110" s="26" t="s">
        <v>290</v>
      </c>
      <c r="N110" s="24">
        <v>2018</v>
      </c>
      <c r="O110" s="40" t="s">
        <v>65</v>
      </c>
      <c r="P110" s="41"/>
      <c r="Q110" s="41"/>
      <c r="R110" s="41"/>
      <c r="S110" s="41"/>
      <c r="T110" s="42"/>
      <c r="U110" s="4">
        <f>COUNTIFS(   C4:C1440,"Ingeniería Civil")</f>
        <v>37</v>
      </c>
      <c r="V110" s="4">
        <f>COUNTIFS(   C4:C1440,"Ingeniería Civil",F4:F1440,"Hombre")</f>
        <v>23</v>
      </c>
      <c r="W110" s="4">
        <f>COUNTIFS(   C4:C1440,"Ingeniería Civil",F4:F1440,"Mujer")</f>
        <v>14</v>
      </c>
      <c r="X110" s="18">
        <f>COUNTIFS(   A4:A1440,"2018", C4:C1440,"Ingeniería Civil")</f>
        <v>7</v>
      </c>
      <c r="Y110" s="4">
        <f>COUNTIFS(   A4:A1440,"2019", C4:C1440,"Ingeniería Civil")</f>
        <v>7</v>
      </c>
      <c r="Z110" s="4">
        <f>COUNTIFS(   A4:A1440,"2020", C4:C1440,"Ingeniería Civil")</f>
        <v>16</v>
      </c>
      <c r="AA110" s="4">
        <f>COUNTIFS(   A4:A1440,"2021", C4:C1440,"Ingeniería Civil")</f>
        <v>7</v>
      </c>
      <c r="AB110" s="4">
        <f>COUNTIFS(   A4:A1440,"2022", C4:C1440,"Ingeniería Civil")</f>
        <v>0</v>
      </c>
      <c r="AC110" s="18">
        <f>COUNTIFS(   N4:N1440,"2018", C4:C1440,"Ingeniería Civil")</f>
        <v>0</v>
      </c>
      <c r="AD110" s="4">
        <f>COUNTIFS(   N4:N1440,"2019", C4:C1440,"Ingeniería Civil")</f>
        <v>9</v>
      </c>
      <c r="AE110" s="4">
        <f>COUNTIFS(   N4:N1440,"2020", C4:C1440,"Ingeniería Civil")</f>
        <v>9</v>
      </c>
      <c r="AF110" s="4">
        <f>COUNTIFS(   N4:N1440,"2021", C4:C1440,"Ingeniería Civil")</f>
        <v>13</v>
      </c>
      <c r="AG110" s="4">
        <f>COUNTIFS(   N4:N1440,"2022", C4:C1440,"Ingeniería Civil")</f>
        <v>6</v>
      </c>
      <c r="AH110" s="4">
        <f>COUNTIFS(   C4:C1440,"Ingeniería Civil",G4:G1440,"Sí")</f>
        <v>2</v>
      </c>
      <c r="AI110" s="4">
        <f>COUNTIFS(   C4:C1440,"Ingeniería Civil",G4:G1440,"No")</f>
        <v>35</v>
      </c>
      <c r="AJ110" s="4">
        <f>SUMIFS( E4:E1440, C4:C1440,"Ingeniería Civil",G4:G1440,"Sí")</f>
        <v>22</v>
      </c>
      <c r="AK110" s="4">
        <f>SUMIFS( E4:E1440, C4:C1440,"Ingeniería Civil",G4:G1440,"No")</f>
        <v>168</v>
      </c>
      <c r="AL110" s="4">
        <f>COUNTIFS(   C4:C1440,"Ingeniería Civil",H4:H1440,"Sí")</f>
        <v>31</v>
      </c>
      <c r="AM110" s="4">
        <f>COUNTIFS(   C4:C1440,"Ingeniería Civil",I4:I1440,"Sí")</f>
        <v>14</v>
      </c>
      <c r="AN110" s="4">
        <f>COUNTIFS(   C4:C1440,"Ingeniería Civil",I4:I1440,"No")</f>
        <v>23</v>
      </c>
      <c r="AO110" s="4">
        <f>SUMIFS( E4:E1440, C4:C1440,"Ingeniería Civil",I4:I1440,"Sí")</f>
        <v>133</v>
      </c>
      <c r="AP110" s="4">
        <f>SUMIFS( E4:E1440, C4:C1440,"Ingeniería Civil",I4:I1440,"No")</f>
        <v>57</v>
      </c>
      <c r="AQ110" s="4">
        <f>COUNTIFS(   C4:C1440,"Ingeniería Civil",J4:J1440,"Sí")</f>
        <v>37</v>
      </c>
      <c r="AR110" s="4">
        <f>COUNTIFS(   C4:C1440,"Ingeniería Civil",K4:K1440,"Sí")</f>
        <v>10</v>
      </c>
      <c r="AS110" s="4">
        <f>COUNTIFS(   C4:C1440,"Ingeniería Civil",L4:L1440,"Sí")</f>
        <v>0</v>
      </c>
      <c r="AT110" s="4">
        <f>SUMIFS( E4:E1440, C4:C1440,"Ingeniería Civil")</f>
        <v>190</v>
      </c>
      <c r="AU110" s="4">
        <f>SUMIFS( E4:E1440, F4:F1440,"Hombre", C4:C1440,"Ingeniería Civil")</f>
        <v>105</v>
      </c>
      <c r="AV110" s="4">
        <f>SUMIFS( E4:E1440, F4:F1440,"Mujer", C4:C1440,"Ingeniería Civil")</f>
        <v>85</v>
      </c>
      <c r="AW110" s="18">
        <f>SUMIFS( E4:E1440, A4:A1440,"2018", C4:C1440,"Ingeniería Civil")</f>
        <v>73</v>
      </c>
      <c r="AX110" s="4">
        <f>SUMIFS( E4:E1440, A4:A1440,"2019", C4:C1440,"Ingeniería Civil")</f>
        <v>24</v>
      </c>
      <c r="AY110" s="4">
        <f>SUMIFS( E4:E1440, A4:A1440,"2020", C4:C1440,"Ingeniería Civil")</f>
        <v>68</v>
      </c>
      <c r="AZ110" s="4">
        <f>SUMIFS( E4:E1440, A4:A1440,"2021", C4:C1440,"Ingeniería Civil")</f>
        <v>25</v>
      </c>
      <c r="BA110" s="4">
        <f>SUMIFS( E4:E1440, A4:A1440,"2022", C4:C1440,"Ingeniería Civil")</f>
        <v>0</v>
      </c>
      <c r="BB110" s="18">
        <f>SUMIFS( E4:E1440, N4:N1440,"2018", C4:C1440,"Ingeniería Civil")</f>
        <v>0</v>
      </c>
      <c r="BC110" s="4">
        <f>SUMIFS( E4:E1440, N4:N1440,"2019", C4:C1440,"Ingeniería Civil")</f>
        <v>81</v>
      </c>
      <c r="BD110" s="4">
        <f>SUMIFS( E4:E1440, N4:N1440,"2020", C4:C1440,"Ingeniería Civil")</f>
        <v>23</v>
      </c>
      <c r="BE110" s="4">
        <f>SUMIFS( E4:E1440, N4:N1440,"2021", C4:C1440,"Ingeniería Civil")</f>
        <v>62</v>
      </c>
      <c r="BF110" s="4">
        <f>SUMIFS( E4:E1440, N4:N1440,"2022", C4:C1440,"Ingeniería Civil")</f>
        <v>24</v>
      </c>
      <c r="BG110" s="13">
        <f>AVERAGEIFS( E4:E1440, C4:C1440,"Ingeniería Civil")</f>
        <v>6.129032258064516</v>
      </c>
      <c r="BH110" s="13">
        <v>0</v>
      </c>
      <c r="BI110" s="13">
        <v>0</v>
      </c>
      <c r="BJ110" s="13">
        <f>AVERAGEIFS( E4:E1440, A4:A1440,"2020", C4:C1440,"Ingeniería Civil")</f>
        <v>5.2307692307692308</v>
      </c>
      <c r="BK110" s="13">
        <f>AVERAGEIFS( E4:E1440, A4:A1440,"2021", C4:C1440,"Ingeniería Civil")</f>
        <v>4.166666666666667</v>
      </c>
      <c r="BL110" s="37" t="e">
        <f>AVERAGEIFS( E4:E1440, A4:A1440,"2022", C4:C1440,"Ingeniería Civil")</f>
        <v>#DIV/0!</v>
      </c>
      <c r="BM110" s="13">
        <f>AVERAGE(AT111:AT119)</f>
        <v>21.111111111111111</v>
      </c>
      <c r="BN110" s="13">
        <v>0</v>
      </c>
      <c r="BO110" s="13">
        <v>0</v>
      </c>
      <c r="BP110" s="13">
        <f>AVERAGE(AY111:AY119)</f>
        <v>7.5555555555555554</v>
      </c>
      <c r="BQ110" s="13">
        <f>AVERAGE(AZ111:AZ119)</f>
        <v>2.7777777777777777</v>
      </c>
      <c r="BR110" s="13">
        <f>AVERAGE(BA111:BA119)</f>
        <v>0</v>
      </c>
    </row>
    <row r="111" spans="1:70" ht="15" customHeight="1">
      <c r="A111" s="24">
        <v>2018</v>
      </c>
      <c r="B111" s="27" t="s">
        <v>136</v>
      </c>
      <c r="C111" s="24" t="s">
        <v>176</v>
      </c>
      <c r="D111" s="24"/>
      <c r="E111" s="23"/>
      <c r="F111" s="24" t="s">
        <v>211</v>
      </c>
      <c r="G111" s="24" t="s">
        <v>225</v>
      </c>
      <c r="H111" s="23" t="s">
        <v>225</v>
      </c>
      <c r="I111" s="24" t="s">
        <v>225</v>
      </c>
      <c r="J111" s="23" t="s">
        <v>226</v>
      </c>
      <c r="K111" s="24" t="s">
        <v>226</v>
      </c>
      <c r="L111" s="23"/>
      <c r="M111" s="26" t="s">
        <v>290</v>
      </c>
      <c r="N111" s="24">
        <v>2018</v>
      </c>
      <c r="O111" s="67" t="s">
        <v>117</v>
      </c>
      <c r="P111" s="68"/>
      <c r="Q111" s="68"/>
      <c r="R111" s="68"/>
      <c r="S111" s="68"/>
      <c r="T111" s="69"/>
      <c r="U111" s="5">
        <f>COUNTIFS(   D4:D1440,"Dinámica de Estructuras e Ingeniería Sísmica")</f>
        <v>1</v>
      </c>
      <c r="V111" s="5">
        <f>COUNTIFS(   D4:D1440,"Dinámica de Estructuras e Ingeniería Sísmica",F4:F1440,"Hombre")</f>
        <v>1</v>
      </c>
      <c r="W111" s="5">
        <f>COUNTIFS(   D4:D1440,"Dinámica de Estructuras e Ingeniería Sísmica",F4:F1440,"Mujer")</f>
        <v>0</v>
      </c>
      <c r="X111" s="19">
        <f>COUNTIFS(   A4:A1440,"2018", D4:D1440,"Dinámica de Estructuras e Ingeniería Sísmica")</f>
        <v>0</v>
      </c>
      <c r="Y111" s="5">
        <f>COUNTIFS(   A4:A1440,"2019", D4:D1440,"Dinámica de Estructuras e Ingeniería Sísmica")</f>
        <v>1</v>
      </c>
      <c r="Z111" s="5">
        <f>COUNTIFS(   A4:A1440,"2020", D4:D1440,"Dinámica de Estructuras e Ingeniería Sísmica")</f>
        <v>0</v>
      </c>
      <c r="AA111" s="5">
        <f>COUNTIFS(   A4:A1440,"2021", D4:D1440,"Dinámica de Estructuras e Ingeniería Sísmica")</f>
        <v>0</v>
      </c>
      <c r="AB111" s="5">
        <f>COUNTIFS(  A4:A1440,"2022", D4:D1440,"Dinámica de Estructuras e Ingeniería Sísmica")</f>
        <v>0</v>
      </c>
      <c r="AC111" s="19">
        <f>COUNTIFS(   N4:N1440,"2018", D4:D1440,"Dinámica de Estructuras e Ingeniería Sísmica")</f>
        <v>0</v>
      </c>
      <c r="AD111" s="5">
        <f>COUNTIFS(   N4:N1440,"2019", D4:D1440,"Dinámica de Estructuras e Ingeniería Sísmica")</f>
        <v>1</v>
      </c>
      <c r="AE111" s="5">
        <f>COUNTIFS(   N4:N1440,"2020", D4:D1440,"Dinámica de Estructuras e Ingeniería Sísmica")</f>
        <v>0</v>
      </c>
      <c r="AF111" s="5">
        <f>COUNTIFS(   N4:N1440,"2021", D4:D1440,"Dinámica de Estructuras e Ingeniería Sísmica")</f>
        <v>0</v>
      </c>
      <c r="AG111" s="5">
        <f>COUNTIFS(   N4:N1440,"2022", D4:D1440,"Dinámica de Estructuras e Ingeniería Sísmica")</f>
        <v>0</v>
      </c>
      <c r="AH111" s="5">
        <f>COUNTIFS(   D4:D1440,"Dinámica de Estructuras e Ingeniería Sísmica",G4:G1440,"Sí")</f>
        <v>0</v>
      </c>
      <c r="AI111" s="5">
        <f>COUNTIFS(   D4:D1440,"Dinámica de Estructuras e Ingeniería Nosmica",G4:G1440,"No")</f>
        <v>0</v>
      </c>
      <c r="AJ111" s="5">
        <f>SUMIFS( E4:E1440, D4:D1440,"Dinámica de Estructuras e Ingeniería Sísmica",G4:G1440,"Sí")</f>
        <v>0</v>
      </c>
      <c r="AK111" s="5">
        <f>SUMIFS( E4:E1440, D4:D1440,"Dinámica de Estructuras e Ingeniería Nosmica",G4:G1440,"No")</f>
        <v>0</v>
      </c>
      <c r="AL111" s="5">
        <f>COUNTIFS(   D4:D1440,"Dinámica de Estructuras e Ingeniería Sísmica",H4:H1440,"Sí")</f>
        <v>1</v>
      </c>
      <c r="AM111" s="5">
        <f>COUNTIFS(   D4:D1440,"Dinámica de Estructuras e Ingeniería Sísmica",I4:I1440,"Sí")</f>
        <v>1</v>
      </c>
      <c r="AN111" s="5">
        <f>COUNTIFS(   D4:D1440,"Dinámica de Estructuras e Ingeniería Nosmica",I4:I1440,"No")</f>
        <v>0</v>
      </c>
      <c r="AO111" s="5">
        <f>SUMIFS( E4:E1440, D4:D1440,"Dinámica de Estructuras e Ingeniería Sísmica",I4:I1440,"Sí")</f>
        <v>7</v>
      </c>
      <c r="AP111" s="5">
        <f>SUMIFS( E4:E1440, D4:D1440,"Dinámica de Estructuras e Ingeniería Nosmica",I4:I1440,"No")</f>
        <v>0</v>
      </c>
      <c r="AQ111" s="5">
        <f>COUNTIFS(   D4:D1440,"Dinámica de Estructuras e Ingeniería Sísmica",J4:J1440,"Sí")</f>
        <v>1</v>
      </c>
      <c r="AR111" s="5">
        <f>COUNTIFS(   D4:D1440,"Dinámica de Estructuras e Ingeniería Sísmica",K4:K1440,"Sí")</f>
        <v>1</v>
      </c>
      <c r="AS111" s="5">
        <f>COUNTIFS(   D4:D1440,"Dinámica de Estructuras e Ingeniería Sísmica",L4:L1440,"Sí")</f>
        <v>0</v>
      </c>
      <c r="AT111" s="5">
        <f>SUMIFS( E4:E1440, D4:D1440,"Dinámica de Estructuras e Ingeniería Sísmica")</f>
        <v>7</v>
      </c>
      <c r="AU111" s="5">
        <f>SUMIFS( E4:E1440, F4:F1440,"Hombre", D4:D1440,"Dinámica de Estructuras e Ingeniería Sísmica")</f>
        <v>7</v>
      </c>
      <c r="AV111" s="5">
        <f>SUMIFS( E4:E1440, F4:F1440,"Mujer", D4:D1440,"Dinámica de Estructuras e Ingeniería Sísmica")</f>
        <v>0</v>
      </c>
      <c r="AW111" s="19">
        <f>SUMIFS( E4:E1440, A4:A1440,"2018", D4:D1440,"Dinámica de Estructuras e Ingeniería Sísmica")</f>
        <v>0</v>
      </c>
      <c r="AX111" s="5">
        <f>SUMIFS( E4:E1440, A4:A1440,"2019", D4:D1440,"Dinámica de Estructuras e Ingeniería Sísmica")</f>
        <v>7</v>
      </c>
      <c r="AY111" s="5">
        <f>SUMIFS( E4:E1440, A4:A1440,"2020", D4:D1440,"Dinámica de Estructuras e Ingeniería Sísmica")</f>
        <v>0</v>
      </c>
      <c r="AZ111" s="5">
        <f>SUMIFS( E4:E1440, A4:A1440,"2021", D4:D1440,"Dinámica de Estructuras e Ingeniería Sísmica")</f>
        <v>0</v>
      </c>
      <c r="BA111" s="5">
        <f>SUMIFS( E4:E1440, A4:A1440,"2022", D4:D1440,"Dinámica de Estructuras e Ingeniería Sísmica")</f>
        <v>0</v>
      </c>
      <c r="BB111" s="19">
        <f>SUMIFS( E4:E1440, N4:N1440,"2018", D4:D1440,"Dinámica de Estructuras e Ingeniería Sísmica")</f>
        <v>0</v>
      </c>
      <c r="BC111" s="5">
        <f>SUMIFS( E4:E1440, N4:N1440,"2019", D4:D1440,"Dinámica de Estructuras e Ingeniería Sísmica")</f>
        <v>7</v>
      </c>
      <c r="BD111" s="5">
        <f>SUMIFS( E4:E1440, N4:N1440,"2020", D4:D1440,"Dinámica de Estructuras e Ingeniería Sísmica")</f>
        <v>0</v>
      </c>
      <c r="BE111" s="5">
        <f>SUMIFS( E4:E1440, N4:N1440,"2021", D4:D1440,"Dinámica de Estructuras e Ingeniería Sísmica")</f>
        <v>0</v>
      </c>
      <c r="BF111" s="5">
        <f>SUMIFS( E4:E1440, N4:N1440,"2022", D4:D1440,"Dinámica de Estructuras e Ingeniería Sísmica")</f>
        <v>0</v>
      </c>
      <c r="BG111" s="14">
        <f>AVERAGEIFS( E4:E1440, D4:D1440,"Dinámica de Estructuras e Ingeniería Sísmica")</f>
        <v>7</v>
      </c>
      <c r="BH111" s="14">
        <v>0</v>
      </c>
      <c r="BI111" s="14">
        <v>0</v>
      </c>
      <c r="BJ111" s="14">
        <v>0</v>
      </c>
      <c r="BK111" s="14" t="e">
        <f>AVERAGEIFS( E4:E1440, A4:A1440,"2021", D4:D1440,"Dinámica de Estructuras e Ingeniería Sísmica")</f>
        <v>#DIV/0!</v>
      </c>
      <c r="BL111" s="37">
        <v>0</v>
      </c>
      <c r="BM111" s="14">
        <v>1</v>
      </c>
      <c r="BN111" s="14">
        <v>0</v>
      </c>
      <c r="BO111" s="14">
        <v>0</v>
      </c>
      <c r="BP111" s="14">
        <v>0</v>
      </c>
      <c r="BQ111" s="14">
        <v>1</v>
      </c>
      <c r="BR111" s="14">
        <v>0</v>
      </c>
    </row>
    <row r="112" spans="1:70" ht="15" customHeight="1">
      <c r="A112" s="24">
        <v>2018</v>
      </c>
      <c r="B112" s="27" t="s">
        <v>78</v>
      </c>
      <c r="C112" s="24" t="s">
        <v>122</v>
      </c>
      <c r="D112" s="24" t="s">
        <v>130</v>
      </c>
      <c r="E112" s="23">
        <v>4</v>
      </c>
      <c r="F112" s="24" t="s">
        <v>211</v>
      </c>
      <c r="G112" s="24" t="s">
        <v>225</v>
      </c>
      <c r="H112" s="23" t="s">
        <v>226</v>
      </c>
      <c r="I112" s="24" t="s">
        <v>226</v>
      </c>
      <c r="J112" s="23" t="s">
        <v>226</v>
      </c>
      <c r="K112" s="24" t="s">
        <v>226</v>
      </c>
      <c r="L112" s="23"/>
      <c r="M112" s="26" t="s">
        <v>291</v>
      </c>
      <c r="N112" s="24">
        <v>2018</v>
      </c>
      <c r="O112" s="51" t="s">
        <v>369</v>
      </c>
      <c r="P112" s="52"/>
      <c r="Q112" s="52"/>
      <c r="R112" s="52"/>
      <c r="S112" s="52"/>
      <c r="T112" s="53"/>
      <c r="U112" s="5">
        <f>COUNTIFS(   D4:D1440,"Evaluación no-destructiva de Materiales y Estructuras")</f>
        <v>2</v>
      </c>
      <c r="V112" s="5">
        <f>COUNTIFS(   D4:D1440,"Evaluación no-destructiva de Materiales y Estructuras",F4:F1440,"Hombre")</f>
        <v>2</v>
      </c>
      <c r="W112" s="5">
        <f>COUNTIFS(   D4:D1440,"Evaluación no-destructiva de Materiales y Estructuras",F4:F1440,"Mujer")</f>
        <v>0</v>
      </c>
      <c r="X112" s="19">
        <f>COUNTIFS(   A4:A1440,"2018", D4:D1440,"Evaluación no-destructiva de Materiales y Estructuras")</f>
        <v>0</v>
      </c>
      <c r="Y112" s="5">
        <f>COUNTIFS(   A4:A1440,"2019", D4:D1440,"Evaluación no-destructiva de Materiales y Estructuras")</f>
        <v>1</v>
      </c>
      <c r="Z112" s="5">
        <f>COUNTIFS(   A4:A1440,"2020", D4:D1440,"Evaluación no-destructiva de Materiales y Estructuras")</f>
        <v>1</v>
      </c>
      <c r="AA112" s="5">
        <f>COUNTIFS(   A4:A1440,"2021", D4:D1440,"Evaluación no-destructiva de Materiales y Estructuras")</f>
        <v>0</v>
      </c>
      <c r="AB112" s="5">
        <f>COUNTIFS(  A4:A1440,"2022", D4:D1440,"Evaluación no-destructiva de Materiales y Estructuras")</f>
        <v>0</v>
      </c>
      <c r="AC112" s="19">
        <f>COUNTIFS(   N4:N1440,"2018", D4:D1440,"Evaluación no-destructiva de Materiales y Estructuras")</f>
        <v>0</v>
      </c>
      <c r="AD112" s="5">
        <f>COUNTIFS(   N4:N1440,"2019", D4:D1440,"Evaluación no-destructiva de Materiales y Estructuras")</f>
        <v>1</v>
      </c>
      <c r="AE112" s="5">
        <f>COUNTIFS(   N4:N1440,"2020", D4:D1440,"Evaluación no-destructiva de Materiales y Estructuras")</f>
        <v>0</v>
      </c>
      <c r="AF112" s="5">
        <f>COUNTIFS(   N4:N1440,"2021", D4:D1440,"Evaluación no-destructiva de Materiales y Estructuras")</f>
        <v>1</v>
      </c>
      <c r="AG112" s="5">
        <f>COUNTIFS(   N4:N1440,"2022", D4:D1440,"Evaluación no-destructiva de Materiales y Estructuras")</f>
        <v>0</v>
      </c>
      <c r="AH112" s="5">
        <f>COUNTIFS(   D4:D1440,"Evaluación no-destructiva de Materiales y Estructuras",G4:G1440,"Sí")</f>
        <v>0</v>
      </c>
      <c r="AI112" s="5">
        <f>COUNTIFS(   D4:D1440,"Evaluación no-destructiva de Materiales y Estructuras",G4:G1440,"No")</f>
        <v>2</v>
      </c>
      <c r="AJ112" s="5">
        <f>SUMIFS( E4:E1440, D4:D1440,"Evaluación no-destructiva de Materiales y Estructuras",G4:G1440,"Sí")</f>
        <v>0</v>
      </c>
      <c r="AK112" s="5">
        <f>SUMIFS( E4:E1440, D4:D1440,"Evaluación no-destructiva de Materiales y Estructuras",G4:G1440,"No")</f>
        <v>1</v>
      </c>
      <c r="AL112" s="5">
        <f>COUNTIFS(   D4:D1440,"Evaluación no-destructiva de Materiales y Estructuras",H4:H1440,"Sí")</f>
        <v>1</v>
      </c>
      <c r="AM112" s="5">
        <f>COUNTIFS(   D4:D1440,"Evaluación no-destructiva de Materiales y Estructuras",I4:I1440,"Sí")</f>
        <v>1</v>
      </c>
      <c r="AN112" s="5">
        <f>COUNTIFS(   D4:D1440,"Evaluación no-destructiva de Materiales y Estructuras",I4:I1440,"No")</f>
        <v>1</v>
      </c>
      <c r="AO112" s="5">
        <f>SUMIFS( E4:E1440, D4:D1440,"Evaluación no-destructiva de Materiales y Estructuras",I4:I1440,"Sí")</f>
        <v>1</v>
      </c>
      <c r="AP112" s="5">
        <f>SUMIFS( E4:E1440, D4:D1440,"Evaluación no-destructiva de Materiales y Estructuras",I4:I1440,"No")</f>
        <v>0</v>
      </c>
      <c r="AQ112" s="5">
        <f>COUNTIFS(   D4:D1440,"Evaluación no-destructiva de Materiales y Estructuras",J4:J1440,"Sí")</f>
        <v>2</v>
      </c>
      <c r="AR112" s="5">
        <f>COUNTIFS(   D4:D1440,"Evaluación no-destructiva de Materiales y Estructuras",K4:K1440,"Sí")</f>
        <v>1</v>
      </c>
      <c r="AS112" s="5">
        <f>COUNTIFS(   D4:D1440,"Evaluación no-destructiva de Materiales y Estructuras",L4:L1440,"Sí")</f>
        <v>0</v>
      </c>
      <c r="AT112" s="5">
        <f>SUMIFS( E4:E1440, D4:D1440,"Evaluación no-destructiva de Materiales y Estructuras")</f>
        <v>1</v>
      </c>
      <c r="AU112" s="5">
        <f>SUMIFS( E4:E1440, F4:F1440,"Hombre", D4:D1440,"Evaluación no-destructiva de Materiales y Estructuras")</f>
        <v>1</v>
      </c>
      <c r="AV112" s="5">
        <f>SUMIFS( E4:E1440, F4:F1440,"Mujer", D4:D1440,"Evaluación no-destructiva de Materiales y Estructuras")</f>
        <v>0</v>
      </c>
      <c r="AW112" s="19">
        <f>SUMIFS( E4:E1440, A4:A1440,"2018", D4:D1440,"Evaluación no-destructiva de Materiales y Estructuras")</f>
        <v>0</v>
      </c>
      <c r="AX112" s="5">
        <f>SUMIFS( E4:E1440, A4:A1440,"2019", D4:D1440,"Evaluación no-destructiva de Materiales y Estructuras")</f>
        <v>1</v>
      </c>
      <c r="AY112" s="5">
        <f>SUMIFS( E4:E1440, A4:A1440,"2020", D4:D1440,"Evaluación no-destructiva de Materiales y Estructuras")</f>
        <v>0</v>
      </c>
      <c r="AZ112" s="5">
        <f>SUMIFS( E4:E1440, A4:A1440,"2021", D4:D1440,"Evaluación no-destructiva de Materiales y Estructuras")</f>
        <v>0</v>
      </c>
      <c r="BA112" s="5">
        <f>SUMIFS( E4:E1440, A4:A1440,"2022", D4:D1440,"Evaluación no-destructiva de Materiales y Estructuras")</f>
        <v>0</v>
      </c>
      <c r="BB112" s="19">
        <f>SUMIFS( E4:E1440, N4:N1440,"2018", D4:D1440,"Evaluación no-destructiva de Materiales y Estructuras")</f>
        <v>0</v>
      </c>
      <c r="BC112" s="5">
        <f>SUMIFS( E4:E1440, N4:N1440,"2019", D4:D1440,"Evaluación no-destructiva de Materiales y Estructuras")</f>
        <v>1</v>
      </c>
      <c r="BD112" s="5">
        <f>SUMIFS( E4:E1440, N4:N1440,"2020", D4:D1440,"Evaluación no-destructiva de Materiales y Estructuras")</f>
        <v>0</v>
      </c>
      <c r="BE112" s="5">
        <f>SUMIFS( E4:E1440, N4:N1440,"2021", D4:D1440,"Evaluación no-destructiva de Materiales y Estructuras")</f>
        <v>0</v>
      </c>
      <c r="BF112" s="5">
        <f>SUMIFS( E4:E1440, N4:N1440,"2022", D4:D1440,"Evaluación no-destructiva de Materiales y Estructuras")</f>
        <v>0</v>
      </c>
      <c r="BG112" s="14">
        <f>AVERAGEIFS( E4:E1440, D4:D1440,"Evaluación no-destructiva de Materiales y Estructuras")</f>
        <v>1</v>
      </c>
      <c r="BH112" s="14"/>
      <c r="BI112" s="14"/>
      <c r="BJ112" s="14"/>
      <c r="BK112" s="14"/>
      <c r="BL112" s="37"/>
      <c r="BM112" s="14"/>
      <c r="BN112" s="14"/>
      <c r="BO112" s="14"/>
      <c r="BP112" s="14"/>
      <c r="BQ112" s="14"/>
      <c r="BR112" s="14"/>
    </row>
    <row r="113" spans="1:70" ht="15" customHeight="1">
      <c r="A113" s="24">
        <v>2018</v>
      </c>
      <c r="B113" s="24" t="s">
        <v>4</v>
      </c>
      <c r="C113" s="24" t="s">
        <v>23</v>
      </c>
      <c r="D113" s="24" t="s">
        <v>27</v>
      </c>
      <c r="E113" s="23">
        <v>1</v>
      </c>
      <c r="F113" s="24" t="s">
        <v>207</v>
      </c>
      <c r="G113" s="24" t="s">
        <v>225</v>
      </c>
      <c r="H113" s="23" t="s">
        <v>226</v>
      </c>
      <c r="I113" s="24" t="s">
        <v>225</v>
      </c>
      <c r="J113" s="23" t="s">
        <v>226</v>
      </c>
      <c r="K113" s="24" t="s">
        <v>226</v>
      </c>
      <c r="L113" s="23"/>
      <c r="M113" s="26" t="s">
        <v>291</v>
      </c>
      <c r="N113" s="24">
        <v>2018</v>
      </c>
      <c r="O113" s="51" t="s">
        <v>546</v>
      </c>
      <c r="P113" s="52"/>
      <c r="Q113" s="52"/>
      <c r="R113" s="52"/>
      <c r="S113" s="52"/>
      <c r="T113" s="53"/>
      <c r="U113" s="5">
        <f>COUNTIFS(   D4:D1440,"Mecánica computacional")</f>
        <v>2</v>
      </c>
      <c r="V113" s="5">
        <f>COUNTIFS(   D4:D1440,"Mecánica computacional",F4:F1440,"Hombre")</f>
        <v>1</v>
      </c>
      <c r="W113" s="5">
        <f>COUNTIFS(   D4:D1440,"Mecánica computacional",F4:F1440,"Mujer")</f>
        <v>1</v>
      </c>
      <c r="X113" s="19">
        <f>COUNTIFS(   A4:A1440,"2018", D4:D1440,"Mecánica computacional")</f>
        <v>0</v>
      </c>
      <c r="Y113" s="5">
        <f>COUNTIFS(   A4:A1440,"2019", D4:D1440,"Mecánica computacional")</f>
        <v>0</v>
      </c>
      <c r="Z113" s="5">
        <f>COUNTIFS(   A4:A1440,"2020", D4:D1440,"Mecánica computacional")</f>
        <v>2</v>
      </c>
      <c r="AA113" s="5">
        <f>COUNTIFS(   A4:A1440,"2021", D4:D1440,"Mecánica computacional")</f>
        <v>0</v>
      </c>
      <c r="AB113" s="5">
        <f>COUNTIFS(  A4:A1440,"2022", D4:D1440,"Mecánica computacional")</f>
        <v>0</v>
      </c>
      <c r="AC113" s="19">
        <f>COUNTIFS(   N4:N1440,"2018", D4:D1440,"Mecánica computacional")</f>
        <v>0</v>
      </c>
      <c r="AD113" s="5">
        <f>COUNTIFS(   N4:N1440,"2019", D4:D1440,"Mecánica computacional")</f>
        <v>0</v>
      </c>
      <c r="AE113" s="5">
        <f>COUNTIFS(   N4:N1440,"2020", D4:D1440,"Mecánica computacional")</f>
        <v>0</v>
      </c>
      <c r="AF113" s="5">
        <f>COUNTIFS(   N4:N1440,"2021", D4:D1440,"Mecánica computacional")</f>
        <v>2</v>
      </c>
      <c r="AG113" s="5">
        <f>COUNTIFS(   N4:N1440,"2022", D4:D1440,"Mecánica computacional")</f>
        <v>0</v>
      </c>
      <c r="AH113" s="5">
        <f>COUNTIFS(   D4:D1440,"Mecánica computacional",G4:G1440,"Sí")</f>
        <v>0</v>
      </c>
      <c r="AI113" s="5">
        <f>COUNTIFS(   D4:D1440,"Mecánica computacional",G4:G1440,"No")</f>
        <v>2</v>
      </c>
      <c r="AJ113" s="5">
        <f>SUMIFS( E4:E1440, D4:D1440,"Mecánica computacional",G4:G1440,"Sí")</f>
        <v>0</v>
      </c>
      <c r="AK113" s="5">
        <f>SUMIFS( E4:E1440, D4:D1440,"Mecánica computacional",G4:G1440,"No")</f>
        <v>1</v>
      </c>
      <c r="AL113" s="5">
        <f>COUNTIFS(   D4:D1440,"Mecánica computacional",H4:H1440,"Sí")</f>
        <v>1</v>
      </c>
      <c r="AM113" s="5">
        <f>COUNTIFS(   D4:D1440,"Mecánica computacional",I4:I1440,"Sí")</f>
        <v>0</v>
      </c>
      <c r="AN113" s="5">
        <f>COUNTIFS(   D4:D1440,"Mecánica computacional",I4:I1440,"No")</f>
        <v>2</v>
      </c>
      <c r="AO113" s="5">
        <f>SUMIFS( E4:E1440, D4:D1440,"Mecánica computacional",I4:I1440,"Sí")</f>
        <v>0</v>
      </c>
      <c r="AP113" s="5">
        <f>SUMIFS( E4:E1440, D4:D1440,"Mecánica computacional",I4:I1440,"No")</f>
        <v>1</v>
      </c>
      <c r="AQ113" s="5">
        <f>COUNTIFS(   D4:D1440,"Mecánica computacional",J4:J1440,"Sí")</f>
        <v>2</v>
      </c>
      <c r="AR113" s="5">
        <f>COUNTIFS(   D4:D1440,"Mecánica computacional",K4:K1440,"Sí")</f>
        <v>0</v>
      </c>
      <c r="AS113" s="5">
        <f>COUNTIFS(   D4:D1440,"Mecánica computacional",L4:L1440,"Sí")</f>
        <v>0</v>
      </c>
      <c r="AT113" s="5">
        <f>SUMIFS( E4:E1440, D4:D1440,"Mecánica computacional")</f>
        <v>1</v>
      </c>
      <c r="AU113" s="5">
        <f>SUMIFS( E4:E1440, F4:F1440,"Hombre", D4:D1440,"Mecánica computacional")</f>
        <v>1</v>
      </c>
      <c r="AV113" s="5">
        <f>SUMIFS( E4:E1440, F4:F1440,"Mujer", D4:D1440,"Mecánica computacional")</f>
        <v>0</v>
      </c>
      <c r="AW113" s="19">
        <f>SUMIFS( E4:E1440, A4:A1440,"2018", D4:D1440,"Mecánica computacional")</f>
        <v>0</v>
      </c>
      <c r="AX113" s="5">
        <f>SUMIFS( E4:E1440, A4:A1440,"2019", D4:D1440,"Mecánica computacional")</f>
        <v>0</v>
      </c>
      <c r="AY113" s="5">
        <f>SUMIFS( E4:E1440, A4:A1440,"2020", D4:D1440,"Mecánica computacional")</f>
        <v>1</v>
      </c>
      <c r="AZ113" s="5">
        <f>SUMIFS( E4:E1440, A4:A1440,"2021", D4:D1440,"Mecánica computacional")</f>
        <v>0</v>
      </c>
      <c r="BA113" s="5">
        <f>SUMIFS( E4:E1440, A4:A1440,"2022", D4:D1440,"Mecánica computacional")</f>
        <v>0</v>
      </c>
      <c r="BB113" s="19">
        <f>SUMIFS( E4:E1440, N4:N1440,"2018", D4:D1440,"Mecánica computacional")</f>
        <v>0</v>
      </c>
      <c r="BC113" s="5">
        <f>SUMIFS( E4:E1440, N4:N1440,"2019", D4:D1440,"Mecánica computacional")</f>
        <v>0</v>
      </c>
      <c r="BD113" s="5">
        <f>SUMIFS( E4:E1440, N4:N1440,"2020", D4:D1440,"Mecánica computacional")</f>
        <v>0</v>
      </c>
      <c r="BE113" s="5">
        <f>SUMIFS( E4:E1440, N4:N1440,"2021", D4:D1440,"Mecánica computacional")</f>
        <v>1</v>
      </c>
      <c r="BF113" s="5">
        <f>SUMIFS( E4:E1440, N4:N1440,"2022", D4:D1440,"Mecánica computacional")</f>
        <v>0</v>
      </c>
      <c r="BG113" s="14">
        <f>AVERAGEIFS( E4:E1440, D4:D1440,"Mecánica computacional")</f>
        <v>1</v>
      </c>
      <c r="BH113" s="14"/>
      <c r="BI113" s="14"/>
      <c r="BJ113" s="14"/>
      <c r="BK113" s="14"/>
      <c r="BL113" s="37"/>
      <c r="BM113" s="14"/>
      <c r="BN113" s="14"/>
      <c r="BO113" s="14"/>
      <c r="BP113" s="14"/>
      <c r="BQ113" s="14"/>
      <c r="BR113" s="14"/>
    </row>
    <row r="114" spans="1:70" ht="15" customHeight="1">
      <c r="A114" s="24">
        <v>2018</v>
      </c>
      <c r="B114" s="24" t="s">
        <v>78</v>
      </c>
      <c r="C114" s="24" t="s">
        <v>681</v>
      </c>
      <c r="D114" s="24" t="s">
        <v>198</v>
      </c>
      <c r="E114" s="28">
        <v>1</v>
      </c>
      <c r="F114" s="24" t="s">
        <v>211</v>
      </c>
      <c r="G114" s="24" t="s">
        <v>225</v>
      </c>
      <c r="H114" s="23" t="s">
        <v>225</v>
      </c>
      <c r="I114" s="24" t="s">
        <v>226</v>
      </c>
      <c r="J114" s="23" t="s">
        <v>226</v>
      </c>
      <c r="K114" s="24" t="s">
        <v>226</v>
      </c>
      <c r="L114" s="23"/>
      <c r="M114" s="25">
        <v>43467</v>
      </c>
      <c r="N114" s="24">
        <v>2019</v>
      </c>
      <c r="O114" s="51" t="s">
        <v>332</v>
      </c>
      <c r="P114" s="52"/>
      <c r="Q114" s="52"/>
      <c r="R114" s="52"/>
      <c r="S114" s="52"/>
      <c r="T114" s="53"/>
      <c r="U114" s="5">
        <f>COUNTIFS(   D5:D1441,"Hidráulica Computacional")</f>
        <v>4</v>
      </c>
      <c r="V114" s="5">
        <f>COUNTIFS(   D5:D1441,"Hidráulica Computacional",F5:F1441,"Hombre")</f>
        <v>2</v>
      </c>
      <c r="W114" s="5">
        <f>COUNTIFS(   D5:D1441,"Hidráulica Computacional",F5:F1441,"Mujer")</f>
        <v>2</v>
      </c>
      <c r="X114" s="19">
        <f>COUNTIFS(   A5:A1441,"2018", D5:D1441,"Hidráulica Computacional")</f>
        <v>1</v>
      </c>
      <c r="Y114" s="5">
        <f>COUNTIFS(   A5:A1441,"2019", D5:D1441,"Hidráulica Computacional")</f>
        <v>1</v>
      </c>
      <c r="Z114" s="5">
        <f>COUNTIFS(   A5:A1441,"2020", D5:D1441,"Hidráulica Computacional")</f>
        <v>2</v>
      </c>
      <c r="AA114" s="5">
        <f>COUNTIFS(   A5:A1441,"2021", D5:D1441,"Hidráulica Computacional")</f>
        <v>0</v>
      </c>
      <c r="AB114" s="5">
        <f>COUNTIFS(  A5:A1441,"2022", D5:D1441,"Hidráulica Computacional")</f>
        <v>0</v>
      </c>
      <c r="AC114" s="19">
        <f>COUNTIFS(   N5:N1441,"2018", D5:D1441,"Hidráulica Computacional")</f>
        <v>0</v>
      </c>
      <c r="AD114" s="5">
        <f>COUNTIFS(   N5:N1441,"2019", D5:D1441,"Hidráulica Computacional")</f>
        <v>1</v>
      </c>
      <c r="AE114" s="5">
        <f>COUNTIFS(   N5:N1441,"2020", D5:D1441,"Hidráulica Computacional")</f>
        <v>1</v>
      </c>
      <c r="AF114" s="5">
        <f>COUNTIFS(   N5:N1441,"2021", D5:D1441,"Hidráulica Computacional")</f>
        <v>2</v>
      </c>
      <c r="AG114" s="5">
        <f>COUNTIFS(   N5:N1441,"2022", D5:D1441,"Hidráulica Computacional")</f>
        <v>0</v>
      </c>
      <c r="AH114" s="5">
        <f>COUNTIFS(   D5:D1441,"Hidráulica Computacional",G5:G1441,"Sí")</f>
        <v>0</v>
      </c>
      <c r="AI114" s="5">
        <f>COUNTIFS(   D5:D1441,"Hidráulica Computacional",G5:G1441,"No")</f>
        <v>4</v>
      </c>
      <c r="AJ114" s="5">
        <f>SUMIFS( E5:E1441, D5:D1441,"Hidráulica Computacional",G5:G1441,"Sí")</f>
        <v>0</v>
      </c>
      <c r="AK114" s="5">
        <f>SUMIFS( E5:E1441, D5:D1441,"Hidráulica Computacional",G5:G1441,"No")</f>
        <v>43</v>
      </c>
      <c r="AL114" s="5">
        <f>COUNTIFS(   D5:D1441,"Hidráulica Computacional",H5:H1441,"Sí")</f>
        <v>4</v>
      </c>
      <c r="AM114" s="5">
        <f>COUNTIFS(   D5:D1441,"Hidráulica Computacional",I5:I1441,"Sí")</f>
        <v>2</v>
      </c>
      <c r="AN114" s="5">
        <f>COUNTIFS(   D5:D1441,"Hidráulica Computacional",I5:I1441,"No")</f>
        <v>2</v>
      </c>
      <c r="AO114" s="5">
        <f>SUMIFS( E5:E1441, D5:D1441,"Hidráulica Computacional",I5:I1441,"Sí")</f>
        <v>27</v>
      </c>
      <c r="AP114" s="5">
        <f>SUMIFS( E5:E1441, D5:D1441,"Hidráulica Computacional",I5:I1441,"No")</f>
        <v>16</v>
      </c>
      <c r="AQ114" s="5">
        <f>COUNTIFS(   D5:D1441,"Hidráulica Computacional",J5:J1441,"Sí")</f>
        <v>4</v>
      </c>
      <c r="AR114" s="5">
        <f>COUNTIFS(   D5:D1441,"Hidráulica Computacional",K5:K1441,"Sí")</f>
        <v>1</v>
      </c>
      <c r="AS114" s="5">
        <f>COUNTIFS(   D5:D1441,"Hidráulica Computacional",L5:L1441,"Sí")</f>
        <v>0</v>
      </c>
      <c r="AT114" s="5">
        <f>SUMIFS( E5:E1441, D5:D1441,"Hidráulica Computacional")</f>
        <v>43</v>
      </c>
      <c r="AU114" s="5">
        <f>SUMIFS( E5:E1441, F5:F1441,"Hombre", D5:D1441,"Hidráulica Computacional")</f>
        <v>27</v>
      </c>
      <c r="AV114" s="5">
        <f>SUMIFS( E5:E1441, F5:F1441,"Mujer", D5:D1441,"Hidráulica Computacional")</f>
        <v>16</v>
      </c>
      <c r="AW114" s="19">
        <f>SUMIFS( E5:E1441, A5:A1441,"2018", D5:D1441,"Hidráulica Computacional")</f>
        <v>26</v>
      </c>
      <c r="AX114" s="5">
        <f>SUMIFS( E5:E1441, A5:A1441,"2019", D5:D1441,"Hidráulica Computacional")</f>
        <v>6</v>
      </c>
      <c r="AY114" s="5">
        <f>SUMIFS( E5:E1441, A5:A1441,"2020", D5:D1441,"Hidráulica Computacional")</f>
        <v>11</v>
      </c>
      <c r="AZ114" s="5">
        <f>SUMIFS( E5:E1441, A5:A1441,"2021", D5:D1441,"Hidráulica Computacional")</f>
        <v>0</v>
      </c>
      <c r="BA114" s="5">
        <f>SUMIFS( E5:E1441, A5:A1441,"2022", D5:D1441,"Hidráulica Computacional")</f>
        <v>0</v>
      </c>
      <c r="BB114" s="19">
        <f>SUMIFS( E5:E1441, N5:N1441,"2018", D5:D1441,"Hidráulica Computacional")</f>
        <v>0</v>
      </c>
      <c r="BC114" s="5">
        <f>SUMIFS( E5:E1441, N5:N1441,"2019", D5:D1441,"Hidráulica Computacional")</f>
        <v>26</v>
      </c>
      <c r="BD114" s="5">
        <f>SUMIFS( E5:E1441, N5:N1441,"2020", D5:D1441,"Hidráulica Computacional")</f>
        <v>6</v>
      </c>
      <c r="BE114" s="5">
        <f>SUMIFS( E5:E1441, N5:N1441,"2021", D5:D1441,"Hidráulica Computacional")</f>
        <v>11</v>
      </c>
      <c r="BF114" s="5">
        <f>SUMIFS( E5:E1441, N5:N1441,"2022", D5:D1441,"Hidráulica Computacional")</f>
        <v>0</v>
      </c>
      <c r="BG114" s="14">
        <f>AVERAGEIFS( E5:E1441, D5:D1441,"Hidráulica Computacional")</f>
        <v>10.75</v>
      </c>
      <c r="BH114" s="14"/>
      <c r="BI114" s="14"/>
      <c r="BJ114" s="14"/>
      <c r="BK114" s="14"/>
      <c r="BL114" s="37"/>
      <c r="BM114" s="14"/>
      <c r="BN114" s="14"/>
      <c r="BO114" s="14"/>
      <c r="BP114" s="14"/>
      <c r="BQ114" s="14"/>
      <c r="BR114" s="14"/>
    </row>
    <row r="115" spans="1:70" ht="15" customHeight="1">
      <c r="A115" s="24">
        <v>2018</v>
      </c>
      <c r="B115" s="24" t="s">
        <v>4</v>
      </c>
      <c r="C115" s="24" t="s">
        <v>23</v>
      </c>
      <c r="D115" s="24" t="s">
        <v>26</v>
      </c>
      <c r="E115" s="23"/>
      <c r="F115" s="24" t="s">
        <v>211</v>
      </c>
      <c r="G115" s="24" t="s">
        <v>225</v>
      </c>
      <c r="H115" s="23" t="s">
        <v>225</v>
      </c>
      <c r="I115" s="24" t="s">
        <v>225</v>
      </c>
      <c r="J115" s="23" t="s">
        <v>226</v>
      </c>
      <c r="K115" s="24" t="s">
        <v>225</v>
      </c>
      <c r="L115" s="23"/>
      <c r="M115" s="25">
        <v>43467</v>
      </c>
      <c r="N115" s="24">
        <v>2019</v>
      </c>
      <c r="O115" s="67" t="s">
        <v>116</v>
      </c>
      <c r="P115" s="68"/>
      <c r="Q115" s="68"/>
      <c r="R115" s="68"/>
      <c r="S115" s="68"/>
      <c r="T115" s="69"/>
      <c r="U115" s="5">
        <f>COUNTIFS(   D4:D1440,"Hormigón y Acero Estructural")</f>
        <v>1</v>
      </c>
      <c r="V115" s="5">
        <f>COUNTIFS(   D4:D1440,"Hormigón y Acero Estructural",F4:F1440,"Hombre")</f>
        <v>1</v>
      </c>
      <c r="W115" s="5">
        <f>COUNTIFS(   D4:D1440,"Hormigón y Acero Estructural",F4:F1440,"Mujer")</f>
        <v>0</v>
      </c>
      <c r="X115" s="19">
        <f>COUNTIFS(   A4:A1440,"2018", D4:D1440,"Hormigón y Acero Estructural")</f>
        <v>0</v>
      </c>
      <c r="Y115" s="5">
        <f>COUNTIFS(   A4:A1440,"2019", D4:D1440,"Hormigón y Acero Estructural")</f>
        <v>0</v>
      </c>
      <c r="Z115" s="5">
        <f>COUNTIFS(   A4:A1440,"2020", D4:D1440,"Hormigón y Acero Estructural")</f>
        <v>1</v>
      </c>
      <c r="AA115" s="5">
        <f>COUNTIFS(   A4:A1440,"2021", D4:D1440,"Hormigón y Acero Estructural")</f>
        <v>0</v>
      </c>
      <c r="AB115" s="5">
        <f>COUNTIFS(  A4:A1440,"2022", D4:D1440,"Hormigón y Acero Estructural")</f>
        <v>0</v>
      </c>
      <c r="AC115" s="19">
        <f>COUNTIFS(   N4:N1440,"2018", D4:D1440,"Hormigón y Acero Estructural")</f>
        <v>0</v>
      </c>
      <c r="AD115" s="5">
        <f>COUNTIFS(   N4:N1440,"2019", D4:D1440,"Hormigón y Acero Estructural")</f>
        <v>0</v>
      </c>
      <c r="AE115" s="5">
        <f>COUNTIFS(   N4:N1440,"2020", D4:D1440,"Hormigón y Acero Estructural")</f>
        <v>0</v>
      </c>
      <c r="AF115" s="5">
        <f>COUNTIFS(   N4:N1440,"2021", D4:D1440,"Hormigón y Acero Estructural")</f>
        <v>1</v>
      </c>
      <c r="AG115" s="5">
        <f>COUNTIFS(   N4:N1440,"2022", D4:D1440,"Hormigón y Acero Estructural")</f>
        <v>0</v>
      </c>
      <c r="AH115" s="5">
        <f>COUNTIFS(   D4:D1440,"Hormigón y Acero Estructural",G4:G1440,"Sí")</f>
        <v>0</v>
      </c>
      <c r="AI115" s="5">
        <f>COUNTIFS(   D4:D1440,"Hormigón y Acero Estructural",G4:G1440,"No")</f>
        <v>1</v>
      </c>
      <c r="AJ115" s="5">
        <f>SUMIFS( E4:E1440, D4:D1440,"Hormigón y Acero Estructural",G4:G1440,"Sí")</f>
        <v>0</v>
      </c>
      <c r="AK115" s="5">
        <f>SUMIFS( E4:E1440, D4:D1440,"Hormigón y Acero Estructural",G4:G1440,"No")</f>
        <v>3</v>
      </c>
      <c r="AL115" s="5">
        <f>COUNTIFS(   D4:D1440,"Hormigón y Acero Estructural",H4:H1440,"Sí")</f>
        <v>1</v>
      </c>
      <c r="AM115" s="5">
        <f>COUNTIFS(   D4:D1440,"Hormigón y Acero Estructural",I4:I1440,"Sí")</f>
        <v>1</v>
      </c>
      <c r="AN115" s="5">
        <f>COUNTIFS(   D4:D1440,"Hormigón y Acero Estructural",I4:I1440,"No")</f>
        <v>0</v>
      </c>
      <c r="AO115" s="5">
        <f>SUMIFS( E4:E1440, D4:D1440,"Hormigón y Acero Estructural",I4:I1440,"Sí")</f>
        <v>3</v>
      </c>
      <c r="AP115" s="5">
        <f>SUMIFS( E4:E1440, D4:D1440,"Hormigón y Acero Estructural",I4:I1440,"No")</f>
        <v>0</v>
      </c>
      <c r="AQ115" s="5">
        <f>COUNTIFS(   D4:D1440,"Hormigón y Acero Estructural",J4:J1440,"Sí")</f>
        <v>1</v>
      </c>
      <c r="AR115" s="5">
        <f>COUNTIFS(   D4:D1440,"Hormigón y Acero Estructural",K4:K1440,"Sí")</f>
        <v>0</v>
      </c>
      <c r="AS115" s="5">
        <f>COUNTIFS(   D4:D1440,"Hormigón y Acero Estructural",L4:L1440,"Sí")</f>
        <v>0</v>
      </c>
      <c r="AT115" s="5">
        <f>SUMIFS( E4:E1440, D4:D1440,"Hormigón y Acero Estructural")</f>
        <v>3</v>
      </c>
      <c r="AU115" s="5">
        <f>SUMIFS( E4:E1440, F4:F1440,"Hombre", D4:D1440,"Hormigón y Acero Estructural")</f>
        <v>3</v>
      </c>
      <c r="AV115" s="5">
        <f>SUMIFS( E4:E1440, F4:F1440,"Mujer", D4:D1440,"Hormigón y Acero Estructural")</f>
        <v>0</v>
      </c>
      <c r="AW115" s="19">
        <f>SUMIFS( E4:E1440, A4:A1440,"2018", D4:D1440,"Hormigón y Acero Estructural")</f>
        <v>0</v>
      </c>
      <c r="AX115" s="5">
        <f>SUMIFS( E4:E1440, A4:A1440,"2019", D4:D1440,"Hormigón y Acero Estructural")</f>
        <v>0</v>
      </c>
      <c r="AY115" s="5">
        <f>SUMIFS( E4:E1440, A4:A1440,"2020", D4:D1440,"Hormigón y Acero Estructural")</f>
        <v>3</v>
      </c>
      <c r="AZ115" s="5">
        <f>SUMIFS( E4:E1440, A4:A1440,"2021", D4:D1440,"Hormigón y Acero Estructural")</f>
        <v>0</v>
      </c>
      <c r="BA115" s="5">
        <f>SUMIFS( E4:E1440, A4:A1440,"2022", D4:D1440,"Hormigón y Acero Estructural")</f>
        <v>0</v>
      </c>
      <c r="BB115" s="19">
        <f>SUMIFS( E4:E1440, N4:N1440,"2018", D4:D1440,"Hormigón y Acero Estructural")</f>
        <v>0</v>
      </c>
      <c r="BC115" s="5">
        <f>SUMIFS( E4:E1440, N4:N1440,"2019", D4:D1440,"Hormigón y Acero Estructural")</f>
        <v>0</v>
      </c>
      <c r="BD115" s="5">
        <f>SUMIFS( E4:E1440, N4:N1440,"2020", D4:D1440,"Hormigón y Acero Estructural")</f>
        <v>0</v>
      </c>
      <c r="BE115" s="5">
        <f>SUMIFS( E4:E1440, N4:N1440,"2021", D4:D1440,"Hormigón y Acero Estructural")</f>
        <v>3</v>
      </c>
      <c r="BF115" s="5">
        <f>SUMIFS( E4:E1440, N4:N1440,"2022", D4:D1440,"Hormigón y Acero Estructural")</f>
        <v>0</v>
      </c>
      <c r="BG115" s="14">
        <f>AVERAGEIFS( E4:E1440, D4:D1440,"Hormigón y Acero Estructural")</f>
        <v>3</v>
      </c>
      <c r="BH115" s="14">
        <v>0</v>
      </c>
      <c r="BI115" s="14">
        <v>0</v>
      </c>
      <c r="BJ115" s="14">
        <f>AVERAGEIFS( E4:E1440, A4:A1440,"2020", D4:D1440,"Hormigón y Acero Estructural")</f>
        <v>3</v>
      </c>
      <c r="BK115" s="14" t="e">
        <f>AVERAGEIFS( E4:E1440, A4:A1440,"2021", D4:D1440,"Hormigón y Acero Estructural")</f>
        <v>#DIV/0!</v>
      </c>
      <c r="BL115" s="37">
        <v>0</v>
      </c>
      <c r="BM115" s="14">
        <v>8.5</v>
      </c>
      <c r="BN115" s="14">
        <v>0</v>
      </c>
      <c r="BO115" s="14">
        <v>0</v>
      </c>
      <c r="BP115" s="14">
        <v>2</v>
      </c>
      <c r="BQ115" s="14">
        <v>15</v>
      </c>
      <c r="BR115" s="14">
        <v>0</v>
      </c>
    </row>
    <row r="116" spans="1:70" ht="15" customHeight="1">
      <c r="A116" s="24">
        <v>2018</v>
      </c>
      <c r="B116" s="24" t="s">
        <v>136</v>
      </c>
      <c r="C116" s="24" t="s">
        <v>152</v>
      </c>
      <c r="D116" s="24" t="s">
        <v>159</v>
      </c>
      <c r="E116" s="23"/>
      <c r="F116" s="24" t="s">
        <v>211</v>
      </c>
      <c r="G116" s="24" t="s">
        <v>225</v>
      </c>
      <c r="H116" s="23" t="s">
        <v>225</v>
      </c>
      <c r="I116" s="24" t="s">
        <v>225</v>
      </c>
      <c r="J116" s="23" t="s">
        <v>226</v>
      </c>
      <c r="K116" s="24" t="s">
        <v>225</v>
      </c>
      <c r="L116" s="23"/>
      <c r="M116" s="25">
        <v>43467</v>
      </c>
      <c r="N116" s="24">
        <v>2019</v>
      </c>
      <c r="O116" s="67" t="s">
        <v>114</v>
      </c>
      <c r="P116" s="68"/>
      <c r="Q116" s="68"/>
      <c r="R116" s="68"/>
      <c r="S116" s="68"/>
      <c r="T116" s="69"/>
      <c r="U116" s="5">
        <f>COUNTIFS(   D4:D1440,"Ingeniería de la Construcción y del Terreno")</f>
        <v>8</v>
      </c>
      <c r="V116" s="5">
        <f>COUNTIFS(   D4:D1440,"Ingeniería de la Construcción y del Terreno",F4:F1440,"Hombre")</f>
        <v>3</v>
      </c>
      <c r="W116" s="5">
        <f>COUNTIFS(   D4:D1440,"Ingeniería de la Construcción y del Terreno",F4:F1440,"Mujer")</f>
        <v>5</v>
      </c>
      <c r="X116" s="19">
        <f>COUNTIFS(   A4:A1440,"2018", D4:D1440,"Ingeniería de la Construcción y del Terreno")</f>
        <v>2</v>
      </c>
      <c r="Y116" s="5">
        <f>COUNTIFS(   A4:A1440,"2019", D4:D1440,"Ingeniería de la Construcción y del Terreno")</f>
        <v>1</v>
      </c>
      <c r="Z116" s="5">
        <f>COUNTIFS(   A4:A1440,"2020", D4:D1440,"Ingeniería de la Construcción y del Terreno")</f>
        <v>1</v>
      </c>
      <c r="AA116" s="5">
        <f>COUNTIFS(   A4:A1440,"2021", D4:D1440,"Ingeniería de la Construcción y del Terreno")</f>
        <v>4</v>
      </c>
      <c r="AB116" s="5">
        <f>COUNTIFS(  A4:A1440,"2022", D4:D1440,"Ingeniería de la Construcción y del Terreno")</f>
        <v>0</v>
      </c>
      <c r="AC116" s="19">
        <f>COUNTIFS(   N4:N1440,"2018", D4:D1440,"Ingeniería de la Construcción y del Terreno")</f>
        <v>0</v>
      </c>
      <c r="AD116" s="5">
        <f>COUNTIFS(   N4:N1440,"2019", D4:D1440,"Ingeniería de la Construcción y del Terreno")</f>
        <v>2</v>
      </c>
      <c r="AE116" s="5">
        <f>COUNTIFS(   N4:N1440,"2020", D4:D1440,"Ingeniería de la Construcción y del Terreno")</f>
        <v>2</v>
      </c>
      <c r="AF116" s="5">
        <f>COUNTIFS(   N4:N1440,"2021", D4:D1440,"Ingeniería de la Construcción y del Terreno")</f>
        <v>0</v>
      </c>
      <c r="AG116" s="5">
        <f>COUNTIFS(   N4:N1440,"2022", D4:D1440,"Ingeniería de la Construcción y del Terreno")</f>
        <v>4</v>
      </c>
      <c r="AH116" s="5">
        <f>COUNTIFS(   D4:D1440,"Ingeniería de la Construcción y del Terreno",G4:G1440,"Sí")</f>
        <v>0</v>
      </c>
      <c r="AI116" s="5">
        <f>COUNTIFS(   D4:D1440,"Ingeniería de la Construcción y del Terreno",G4:G1440,"No")</f>
        <v>8</v>
      </c>
      <c r="AJ116" s="5">
        <f>SUMIFS( E4:E1440, D4:D1440,"Ingeniería de la Construcción y del Terreno",G4:G1440,"Sí")</f>
        <v>0</v>
      </c>
      <c r="AK116" s="5">
        <f>SUMIFS( E4:E1440, D4:D1440,"Ingeniería de la Construcción y del Terreno",G4:G1440,"No")</f>
        <v>34</v>
      </c>
      <c r="AL116" s="5">
        <f>COUNTIFS(   D4:D1440,"Ingeniería de la Construcción y del Terreno",H4:H1440,"Sí")</f>
        <v>8</v>
      </c>
      <c r="AM116" s="5">
        <f>COUNTIFS(   D4:D1440,"Ingeniería de la Construcción y del Terreno",I4:I1440,"Sí")</f>
        <v>2</v>
      </c>
      <c r="AN116" s="5">
        <f>COUNTIFS(   D4:D1440,"Ingeniería de la Construcción y del Terreno",I4:I1440,"No")</f>
        <v>6</v>
      </c>
      <c r="AO116" s="5">
        <f>SUMIFS( E4:E1440, D4:D1440,"Ingeniería de la Construcción y del Terreno",I4:I1440,"Sí")</f>
        <v>16</v>
      </c>
      <c r="AP116" s="5">
        <f>SUMIFS( E4:E1440, D4:D1440,"Ingeniería de la Construcción y del Terreno",I4:I1440,"No")</f>
        <v>18</v>
      </c>
      <c r="AQ116" s="5">
        <f>COUNTIFS(   D4:D1440,"Ingeniería de la Construcción y del Terreno",J4:J1440,"Sí")</f>
        <v>8</v>
      </c>
      <c r="AR116" s="5">
        <f>COUNTIFS(   D4:D1440,"Ingeniería de la Construcción y del Terreno",K4:K1440,"Sí")</f>
        <v>2</v>
      </c>
      <c r="AS116" s="5">
        <f>COUNTIFS(   D4:D1440,"Ingeniería de la Construcción y del Terreno",L4:L1440,"Sí")</f>
        <v>0</v>
      </c>
      <c r="AT116" s="5">
        <f>SUMIFS( E4:E1440, D4:D1440,"Ingeniería de la Construcción y del Terreno")</f>
        <v>34</v>
      </c>
      <c r="AU116" s="5">
        <f>SUMIFS( E4:E1440, F4:F1440,"Hombre", D4:D1440,"Ingeniería de la Construcción y del Terreno")</f>
        <v>9</v>
      </c>
      <c r="AV116" s="5">
        <f>SUMIFS( E4:E1440, F4:F1440,"Mujer", D4:D1440,"Ingeniería de la Construcción y del Terreno")</f>
        <v>25</v>
      </c>
      <c r="AW116" s="19">
        <f>SUMIFS( E4:E1440, A4:A1440,"2018", D4:D1440,"Ingeniería de la Construcción y del Terreno")</f>
        <v>3</v>
      </c>
      <c r="AX116" s="5">
        <f>SUMIFS( E4:E1440, A4:A1440,"2019", D4:D1440,"Ingeniería de la Construcción y del Terreno")</f>
        <v>5</v>
      </c>
      <c r="AY116" s="5">
        <f>SUMIFS( E4:E1440, A4:A1440,"2020", D4:D1440,"Ingeniería de la Construcción y del Terreno")</f>
        <v>4</v>
      </c>
      <c r="AZ116" s="5">
        <f>SUMIFS( E4:E1440, A4:A1440,"2021", D4:D1440,"Ingeniería de la Construcción y del Terreno")</f>
        <v>22</v>
      </c>
      <c r="BA116" s="5">
        <f>SUMIFS( E4:E1440, A4:A1440,"2022", D4:D1440,"Ingeniería de la Construcción y del Terreno")</f>
        <v>0</v>
      </c>
      <c r="BB116" s="19">
        <f>SUMIFS( E4:E1440, N4:N1440,"2018", D4:D1440,"Ingeniería de la Construcción y del Terreno")</f>
        <v>0</v>
      </c>
      <c r="BC116" s="5">
        <f>SUMIFS( E4:E1440, N4:N1440,"2019", D4:D1440,"Ingeniería de la Construcción y del Terreno")</f>
        <v>3</v>
      </c>
      <c r="BD116" s="5">
        <f>SUMIFS( E4:E1440, N4:N1440,"2020", D4:D1440,"Ingeniería de la Construcción y del Terreno")</f>
        <v>9</v>
      </c>
      <c r="BE116" s="5">
        <f>SUMIFS( E4:E1440, N4:N1440,"2021", D4:D1440,"Ingeniería de la Construcción y del Terreno")</f>
        <v>0</v>
      </c>
      <c r="BF116" s="5">
        <f>SUMIFS( E4:E1440, N4:N1440,"2022", D4:D1440,"Ingeniería de la Construcción y del Terreno")</f>
        <v>22</v>
      </c>
      <c r="BG116" s="14">
        <f>AVERAGEIFS( E4:E1440, D4:D1440,"Ingeniería de la Construcción y del Terreno")</f>
        <v>4.25</v>
      </c>
      <c r="BH116" s="14">
        <v>0</v>
      </c>
      <c r="BI116" s="14">
        <v>0</v>
      </c>
      <c r="BJ116" s="14">
        <v>0</v>
      </c>
      <c r="BK116" s="14">
        <f>AVERAGEIFS( E4:E1440, A4:A1440,"2021", D4:D1440,"Ingeniería de la Construcción y del Terreno")</f>
        <v>5.5</v>
      </c>
      <c r="BL116" s="37" t="e">
        <f>AVERAGEIFS( E4:E1440, A4:A1440,"2022", D4:D1440,"Ingeniería de la Construcción y del Terreno")</f>
        <v>#DIV/0!</v>
      </c>
      <c r="BM116" s="14">
        <v>7.5</v>
      </c>
      <c r="BN116" s="14">
        <v>0</v>
      </c>
      <c r="BO116" s="14">
        <v>0</v>
      </c>
      <c r="BP116" s="14">
        <v>0</v>
      </c>
      <c r="BQ116" s="14">
        <v>5</v>
      </c>
      <c r="BR116" s="14">
        <v>10</v>
      </c>
    </row>
    <row r="117" spans="1:70" ht="15" customHeight="1">
      <c r="A117" s="24">
        <v>2018</v>
      </c>
      <c r="B117" s="24" t="s">
        <v>136</v>
      </c>
      <c r="C117" s="24" t="s">
        <v>176</v>
      </c>
      <c r="D117" s="24" t="s">
        <v>182</v>
      </c>
      <c r="E117" s="23"/>
      <c r="F117" s="24" t="s">
        <v>211</v>
      </c>
      <c r="G117" s="24" t="s">
        <v>225</v>
      </c>
      <c r="H117" s="23" t="s">
        <v>225</v>
      </c>
      <c r="I117" s="24" t="s">
        <v>225</v>
      </c>
      <c r="J117" s="23" t="s">
        <v>226</v>
      </c>
      <c r="K117" s="24" t="s">
        <v>225</v>
      </c>
      <c r="L117" s="23"/>
      <c r="M117" s="25">
        <v>43467</v>
      </c>
      <c r="N117" s="24">
        <v>2019</v>
      </c>
      <c r="O117" s="67" t="s">
        <v>113</v>
      </c>
      <c r="P117" s="68"/>
      <c r="Q117" s="68"/>
      <c r="R117" s="68"/>
      <c r="S117" s="68"/>
      <c r="T117" s="69"/>
      <c r="U117" s="5">
        <f>COUNTIFS(   D4:D1440,"Ordenación del Territorio. Evaluación y Planificación Ambiental")</f>
        <v>4</v>
      </c>
      <c r="V117" s="5">
        <f>COUNTIFS(   D4:D1440,"Ordenación del Territorio. Evaluación y Planificación Ambiental",F4:F1440,"Hombre")</f>
        <v>2</v>
      </c>
      <c r="W117" s="5">
        <f>COUNTIFS(   D4:D1440,"Ordenación del Territorio. Evaluación y Planificación Ambiental",F4:F1440,"Mujer")</f>
        <v>2</v>
      </c>
      <c r="X117" s="19">
        <f>COUNTIFS(   A4:A1440,"2018", D4:D1440,"Ordenación del Territorio. Evaluación y Planificación Ambiental")</f>
        <v>2</v>
      </c>
      <c r="Y117" s="5">
        <f>COUNTIFS(   A4:A1440,"2019", D4:D1440,"Ordenación del Territorio. Evaluación y Planificación Ambiental")</f>
        <v>1</v>
      </c>
      <c r="Z117" s="5">
        <f>COUNTIFS(   A4:A1440,"2020", D4:D1440,"Ordenación del Territorio. Evaluación y Planificación Ambiental")</f>
        <v>1</v>
      </c>
      <c r="AA117" s="5">
        <f>COUNTIFS(   A4:A1440,"2021", D4:D1440,"Ordenación del Territorio. Evaluación y Planificación Ambiental")</f>
        <v>0</v>
      </c>
      <c r="AB117" s="5">
        <f>COUNTIFS(  A4:A1440,"2022", D4:D1440,"Ordenación del Territorio. Evaluación y Planificación Ambiental")</f>
        <v>0</v>
      </c>
      <c r="AC117" s="19">
        <f>COUNTIFS(   N4:N1440,"2018", D4:D1440,"Ordenación del Territorio. Evaluación y Planificación Ambiental")</f>
        <v>0</v>
      </c>
      <c r="AD117" s="5">
        <f>COUNTIFS(   N4:N1440,"2019", D4:D1440,"Ordenación del Territorio. Evaluación y Planificación Ambiental")</f>
        <v>2</v>
      </c>
      <c r="AE117" s="5">
        <f>COUNTIFS(   N4:N1440,"2020", D4:D1440,"Ordenación del Territorio. Evaluación y Planificación Ambiental")</f>
        <v>2</v>
      </c>
      <c r="AF117" s="5">
        <f>COUNTIFS(   N4:N1440,"2021", D4:D1440,"Ordenación del Territorio. Evaluación y Planificación Ambiental")</f>
        <v>0</v>
      </c>
      <c r="AG117" s="5">
        <f>COUNTIFS(   N4:N1440,"2022", D4:D1440,"Ordenación del Territorio. Evaluación y Planificación Ambiental")</f>
        <v>0</v>
      </c>
      <c r="AH117" s="5">
        <f>COUNTIFS(   D4:D1440,"Ordenación del Territorio. Evaluación y Planificación Ambiental",G4:G1440,"Sí")</f>
        <v>0</v>
      </c>
      <c r="AI117" s="5">
        <f>COUNTIFS(   D4:D1440,"Ordenación del Territorio. Evaluación y Planificación Ambiental",G4:G1440,"No")</f>
        <v>4</v>
      </c>
      <c r="AJ117" s="5">
        <f>SUMIFS( E4:E1440, D4:D1440,"Ordenación del Territorio. Evaluación y Planificación Ambiental",G4:G1440,"Sí")</f>
        <v>0</v>
      </c>
      <c r="AK117" s="5">
        <f>SUMIFS( E4:E1440, D4:D1440,"Ordenación del Territorio. Evaluación y Planificación Ambiental",G4:G1440,"No")</f>
        <v>12</v>
      </c>
      <c r="AL117" s="5">
        <f>COUNTIFS(   D4:D1440,"Ordenación del Territorio. Evaluación y Planificación Ambiental",H4:H1440,"Sí")</f>
        <v>3</v>
      </c>
      <c r="AM117" s="5">
        <f>COUNTIFS(   D4:D1440,"Ordenación del Territorio. Evaluación y Planificación Ambiental",I4:I1440,"Sí")</f>
        <v>1</v>
      </c>
      <c r="AN117" s="5">
        <f>COUNTIFS(   D4:D1440,"Ordenación del Territorio. Evaluación y Planificación Ambiental",I4:I1440,"No")</f>
        <v>3</v>
      </c>
      <c r="AO117" s="5">
        <f>SUMIFS( E4:E1440, D4:D1440,"Ordenación del Territorio. Evaluación y Planificación Ambiental",I4:I1440,"Sí")</f>
        <v>4</v>
      </c>
      <c r="AP117" s="5">
        <f>SUMIFS( E4:E1440, D4:D1440,"Ordenación del Territorio. Evaluación y Planificación Ambiental",I4:I1440,"No")</f>
        <v>8</v>
      </c>
      <c r="AQ117" s="5">
        <f>COUNTIFS(   D4:D1440,"Ordenación del Territorio. Evaluación y Planificación Ambiental",J4:J1440,"Sí")</f>
        <v>4</v>
      </c>
      <c r="AR117" s="5">
        <f>COUNTIFS(   D4:D1440,"Ordenación del Territorio. Evaluación y Planificación Ambiental",K4:K1440,"Sí")</f>
        <v>2</v>
      </c>
      <c r="AS117" s="5">
        <f>COUNTIFS(   D4:D1440,"Ordenación del Territorio. Evaluación y Planificación Ambiental",L4:L1440,"Sí")</f>
        <v>0</v>
      </c>
      <c r="AT117" s="5">
        <f>SUMIFS( E4:E1440, D4:D1440,"Ordenación del Territorio. Evaluación y Planificación Ambiental")</f>
        <v>12</v>
      </c>
      <c r="AU117" s="5">
        <f>SUMIFS( E4:E1440, F4:F1440,"Hombre", D4:D1440,"Ordenación del Territorio. Evaluación y Planificación Ambiental")</f>
        <v>5</v>
      </c>
      <c r="AV117" s="5">
        <f>SUMIFS( E4:E1440, F4:F1440,"Mujer", D4:D1440,"Ordenación del Territorio. Evaluación y Planificación Ambiental")</f>
        <v>7</v>
      </c>
      <c r="AW117" s="19">
        <f>SUMIFS( E4:E1440, A4:A1440,"2018", D4:D1440,"Ordenación del Territorio. Evaluación y Planificación Ambiental")</f>
        <v>7</v>
      </c>
      <c r="AX117" s="5">
        <f>SUMIFS( E4:E1440, A4:A1440,"2019", D4:D1440,"Ordenación del Territorio. Evaluación y Planificación Ambiental")</f>
        <v>5</v>
      </c>
      <c r="AY117" s="5">
        <f>SUMIFS( E4:E1440, A4:A1440,"2020", D4:D1440,"Ordenación del Territorio. Evaluación y Planificación Ambiental")</f>
        <v>0</v>
      </c>
      <c r="AZ117" s="5">
        <f>SUMIFS( E4:E1440, A4:A1440,"2021", D4:D1440,"Ordenación del Territorio. Evaluación y Planificación Ambiental")</f>
        <v>0</v>
      </c>
      <c r="BA117" s="5">
        <f>SUMIFS( E4:E1440, A4:A1440,"2022", D4:D1440,"Ordenación del Territorio. Evaluación y Planificación Ambiental")</f>
        <v>0</v>
      </c>
      <c r="BB117" s="19">
        <f>SUMIFS( E4:E1440, N4:N1440,"2018", D4:D1440,"Ordenación del Territorio. Evaluación y Planificación Ambiental")</f>
        <v>0</v>
      </c>
      <c r="BC117" s="5">
        <f>SUMIFS( E4:E1440, N4:N1440,"2019", D4:D1440,"Ordenación del Territorio. Evaluación y Planificación Ambiental")</f>
        <v>7</v>
      </c>
      <c r="BD117" s="5">
        <f>SUMIFS( E4:E1440, N4:N1440,"2020", D4:D1440,"Ordenación del Territorio. Evaluación y Planificación Ambiental")</f>
        <v>5</v>
      </c>
      <c r="BE117" s="5">
        <f>SUMIFS( E4:E1440, N4:N1440,"2021", D4:D1440,"Ordenación del Territorio. Evaluación y Planificación Ambiental")</f>
        <v>0</v>
      </c>
      <c r="BF117" s="5">
        <f>SUMIFS( E4:E1440, N4:N1440,"2022", D4:D1440,"Ordenación del Territorio. Evaluación y Planificación Ambiental")</f>
        <v>0</v>
      </c>
      <c r="BG117" s="14">
        <f>AVERAGEIFS( E4:E1440, D4:D1440,"Ordenación del Territorio. Evaluación y Planificación Ambiental")</f>
        <v>4</v>
      </c>
      <c r="BH117" s="14">
        <v>0</v>
      </c>
      <c r="BI117" s="14">
        <v>0</v>
      </c>
      <c r="BJ117" s="14">
        <v>0</v>
      </c>
      <c r="BK117" s="14" t="e">
        <f>AVERAGEIFS( E4:E1440, A4:A1440,"2021", D4:D1440,"Ordenación del Territorio. Evaluación y Planificación Ambiental")</f>
        <v>#DIV/0!</v>
      </c>
      <c r="BL117" s="37" t="e">
        <f>AVERAGEIFS( E4:E1440, A4:A1440,"2022", D4:D1440,"Ordenación del Territorio. Evaluación y Planificación Ambiental")</f>
        <v>#DIV/0!</v>
      </c>
      <c r="BM117" s="14">
        <v>1.5</v>
      </c>
      <c r="BN117" s="14">
        <v>0</v>
      </c>
      <c r="BO117" s="14">
        <v>0</v>
      </c>
      <c r="BP117" s="14">
        <v>0</v>
      </c>
      <c r="BQ117" s="14">
        <v>3</v>
      </c>
      <c r="BR117" s="14">
        <v>0</v>
      </c>
    </row>
    <row r="118" spans="1:70" ht="15" customHeight="1">
      <c r="A118" s="24">
        <v>2018</v>
      </c>
      <c r="B118" s="24" t="s">
        <v>136</v>
      </c>
      <c r="C118" s="24" t="s">
        <v>189</v>
      </c>
      <c r="D118" s="24" t="s">
        <v>196</v>
      </c>
      <c r="E118" s="23">
        <v>4</v>
      </c>
      <c r="F118" s="24" t="s">
        <v>207</v>
      </c>
      <c r="G118" s="24" t="s">
        <v>225</v>
      </c>
      <c r="H118" s="23" t="s">
        <v>226</v>
      </c>
      <c r="I118" s="24" t="s">
        <v>226</v>
      </c>
      <c r="J118" s="23" t="s">
        <v>226</v>
      </c>
      <c r="K118" s="24" t="s">
        <v>226</v>
      </c>
      <c r="L118" s="23"/>
      <c r="M118" s="25">
        <v>43467</v>
      </c>
      <c r="N118" s="24">
        <v>2019</v>
      </c>
      <c r="O118" s="67" t="s">
        <v>118</v>
      </c>
      <c r="P118" s="68"/>
      <c r="Q118" s="68"/>
      <c r="R118" s="68"/>
      <c r="S118" s="68"/>
      <c r="T118" s="69"/>
      <c r="U118" s="5">
        <f>COUNTIFS(   D4:D1440,"Transportes, Energía y Medioambiente")</f>
        <v>7</v>
      </c>
      <c r="V118" s="5">
        <f>COUNTIFS(   D4:D1440,"Transportes, Energía y Medioambiente",F4:F1440,"Hombre")</f>
        <v>3</v>
      </c>
      <c r="W118" s="5">
        <f>COUNTIFS(   D4:D1440,"Transportes, Energía y Medioambiente",F4:F1440,"Mujer")</f>
        <v>4</v>
      </c>
      <c r="X118" s="19">
        <f>COUNTIFS(   A4:A1440,"2018", D4:D1440,"Transportes, Energía y Medioambiente")</f>
        <v>0</v>
      </c>
      <c r="Y118" s="5">
        <f>COUNTIFS(   A4:A1440,"2019", D4:D1440,"Transportes, Energía y Medioambiente")</f>
        <v>2</v>
      </c>
      <c r="Z118" s="5">
        <f>COUNTIFS(   A4:A1440,"2020", D4:D1440,"Transportes, Energía y Medioambiente")</f>
        <v>4</v>
      </c>
      <c r="AA118" s="5">
        <f>COUNTIFS(   A4:A1440,"2021", D4:D1440,"Transportes, Energía y Medioambiente")</f>
        <v>1</v>
      </c>
      <c r="AB118" s="5">
        <f>COUNTIFS(  A4:A1440,"2022", D4:D1440,"Transportes, Energía y Medioambiente")</f>
        <v>0</v>
      </c>
      <c r="AC118" s="19">
        <f>COUNTIFS(   N4:N1440,"2018", D4:D1440,"Transportes, Energía y Medioambiente")</f>
        <v>0</v>
      </c>
      <c r="AD118" s="5">
        <f>COUNTIFS(   N4:N1440,"2019", D4:D1440,"Transportes, Energía y Medioambiente")</f>
        <v>0</v>
      </c>
      <c r="AE118" s="5">
        <f>COUNTIFS(   N4:N1440,"2020", D4:D1440,"Transportes, Energía y Medioambiente")</f>
        <v>3</v>
      </c>
      <c r="AF118" s="5">
        <f>COUNTIFS(   N4:N1440,"2021", D4:D1440,"Transportes, Energía y Medioambiente")</f>
        <v>3</v>
      </c>
      <c r="AG118" s="5">
        <f>COUNTIFS(   N4:N1440,"2022", D4:D1440,"Transportes, Energía y Medioambiente")</f>
        <v>1</v>
      </c>
      <c r="AH118" s="5">
        <f>COUNTIFS(   D4:D1440,"Transportes, Energía y Medioambiente",G4:G1440,"Sí")</f>
        <v>2</v>
      </c>
      <c r="AI118" s="5">
        <f>COUNTIFS(   D4:D1440,"Transportes, Energía y Medioambiente",G4:G1440,"No")</f>
        <v>5</v>
      </c>
      <c r="AJ118" s="5">
        <f>SUMIFS( E4:E1440, D4:D1440,"Transportes, Energía y Medioambiente",G4:G1440,"Sí")</f>
        <v>22</v>
      </c>
      <c r="AK118" s="5">
        <f>SUMIFS( E4:E1440, D4:D1440,"Transportes, Energía y Medioambiente",G4:G1440,"No")</f>
        <v>16</v>
      </c>
      <c r="AL118" s="5">
        <f>COUNTIFS(   D4:D1440,"Transportes, Energía y Medioambiente",H4:H1440,"Sí")</f>
        <v>4</v>
      </c>
      <c r="AM118" s="5">
        <f>COUNTIFS(   D4:D1440,"Transportes, Energía y Medioambiente",I4:I1440,"Sí")</f>
        <v>4</v>
      </c>
      <c r="AN118" s="5">
        <f>COUNTIFS(   D4:D1440,"Transportes, Energía y Medioambiente",I4:I1440,"No")</f>
        <v>3</v>
      </c>
      <c r="AO118" s="5">
        <f>SUMIFS( E4:E1440, D4:D1440,"Transportes, Energía y Medioambiente",I4:I1440,"Sí")</f>
        <v>37</v>
      </c>
      <c r="AP118" s="5">
        <f>SUMIFS( E4:E1440, D4:D1440,"Transportes, Energía y Medioambiente",I4:I1440,"No")</f>
        <v>1</v>
      </c>
      <c r="AQ118" s="5">
        <f>COUNTIFS(   D4:D1440,"Transportes, Energía y Medioambiente",J4:J1440,"Sí")</f>
        <v>7</v>
      </c>
      <c r="AR118" s="5">
        <f>COUNTIFS(   D4:D1440,"Transportes, Energía y Medioambiente",K4:K1440,"Sí")</f>
        <v>1</v>
      </c>
      <c r="AS118" s="5">
        <f>COUNTIFS(   D4:D1440,"Transportes, Energía y Medioambiente",L4:L1440,"Sí")</f>
        <v>0</v>
      </c>
      <c r="AT118" s="5">
        <f>SUMIFS( E4:E1440, D4:D1440,"Transportes, Energía y Medioambiente")</f>
        <v>38</v>
      </c>
      <c r="AU118" s="5">
        <f>SUMIFS( E4:E1440, F4:F1440,"Hombre", D4:D1440,"Transportes, Energía y Medioambiente")</f>
        <v>1</v>
      </c>
      <c r="AV118" s="5">
        <f>SUMIFS( E4:E1440, F4:F1440,"Mujer", D4:D1440,"Transportes, Energía y Medioambiente")</f>
        <v>37</v>
      </c>
      <c r="AW118" s="19">
        <f>SUMIFS( E4:E1440, A4:A1440,"2018", D4:D1440,"Transportes, Energía y Medioambiente")</f>
        <v>0</v>
      </c>
      <c r="AX118" s="5">
        <f>SUMIFS( E4:E1440, A4:A1440,"2019", D4:D1440,"Transportes, Energía y Medioambiente")</f>
        <v>0</v>
      </c>
      <c r="AY118" s="5">
        <f>SUMIFS( E4:E1440, A4:A1440,"2020", D4:D1440,"Transportes, Energía y Medioambiente")</f>
        <v>38</v>
      </c>
      <c r="AZ118" s="5">
        <f>SUMIFS( E4:E1440, A4:A1440,"2021", D4:D1440,"Transportes, Energía y Medioambiente")</f>
        <v>0</v>
      </c>
      <c r="BA118" s="5">
        <f>SUMIFS( E4:E1440, A4:A1440,"2022", D4:D1440,"Transportes, Energía y Medioambiente")</f>
        <v>0</v>
      </c>
      <c r="BB118" s="19">
        <f>SUMIFS( E4:E1440, N4:N1440,"2018", D4:D1440,"Transportes, Energía y Medioambiente")</f>
        <v>0</v>
      </c>
      <c r="BC118" s="5">
        <f>SUMIFS( E4:E1440, N4:N1440,"2019", D4:D1440,"Transportes, Energía y Medioambiente")</f>
        <v>0</v>
      </c>
      <c r="BD118" s="5">
        <f>SUMIFS( E4:E1440, N4:N1440,"2020", D4:D1440,"Transportes, Energía y Medioambiente")</f>
        <v>2</v>
      </c>
      <c r="BE118" s="5">
        <f>SUMIFS( E4:E1440, N4:N1440,"2021", D4:D1440,"Transportes, Energía y Medioambiente")</f>
        <v>36</v>
      </c>
      <c r="BF118" s="5">
        <f>SUMIFS( E4:E1440, N4:N1440,"2022", D4:D1440,"Transportes, Energía y Medioambiente")</f>
        <v>0</v>
      </c>
      <c r="BG118" s="14">
        <f>AVERAGEIFS( E4:E1440, D4:D1440,"Transportes, Energía y Medioambiente")</f>
        <v>9.5</v>
      </c>
      <c r="BH118" s="14">
        <v>0</v>
      </c>
      <c r="BI118" s="14">
        <v>0</v>
      </c>
      <c r="BJ118" s="14">
        <v>0</v>
      </c>
      <c r="BK118" s="14" t="e">
        <f>AVERAGEIFS( E4:E1440, A4:A1440,"2021", D4:D1440,"Transportes, Energía y Medioambiente")</f>
        <v>#DIV/0!</v>
      </c>
      <c r="BL118" s="37">
        <v>0</v>
      </c>
      <c r="BM118" s="14">
        <v>2</v>
      </c>
      <c r="BN118" s="14">
        <v>0</v>
      </c>
      <c r="BO118" s="14">
        <v>0</v>
      </c>
      <c r="BP118" s="14">
        <v>0</v>
      </c>
      <c r="BQ118" s="14">
        <v>2</v>
      </c>
      <c r="BR118" s="14">
        <v>0</v>
      </c>
    </row>
    <row r="119" spans="1:70" ht="15" customHeight="1">
      <c r="A119" s="24">
        <v>2018</v>
      </c>
      <c r="B119" s="24" t="s">
        <v>136</v>
      </c>
      <c r="C119" s="24" t="s">
        <v>176</v>
      </c>
      <c r="D119" s="24" t="s">
        <v>177</v>
      </c>
      <c r="E119" s="23">
        <v>2</v>
      </c>
      <c r="F119" s="24" t="s">
        <v>207</v>
      </c>
      <c r="G119" s="24" t="s">
        <v>225</v>
      </c>
      <c r="H119" s="23" t="s">
        <v>226</v>
      </c>
      <c r="I119" s="24" t="s">
        <v>225</v>
      </c>
      <c r="J119" s="23" t="s">
        <v>226</v>
      </c>
      <c r="K119" s="24" t="s">
        <v>226</v>
      </c>
      <c r="L119" s="23"/>
      <c r="M119" s="25">
        <v>43467</v>
      </c>
      <c r="N119" s="24">
        <v>2019</v>
      </c>
      <c r="O119" s="67" t="s">
        <v>115</v>
      </c>
      <c r="P119" s="68"/>
      <c r="Q119" s="68"/>
      <c r="R119" s="68"/>
      <c r="S119" s="68"/>
      <c r="T119" s="69"/>
      <c r="U119" s="5">
        <f>COUNTIFS(   D4:D1440,"Tratamiento de Aguas")</f>
        <v>8</v>
      </c>
      <c r="V119" s="5">
        <f>COUNTIFS(   D4:D1440,"Tratamiento de Aguas",F4:F1440,"Hombre")</f>
        <v>8</v>
      </c>
      <c r="W119" s="5">
        <f>COUNTIFS(   D4:D1440,"Tratamiento de Aguas",F4:F1440,"Mujer")</f>
        <v>0</v>
      </c>
      <c r="X119" s="19">
        <f>COUNTIFS(   A4:A1440,"2018", D4:D1440,"Tratamiento de Aguas")</f>
        <v>2</v>
      </c>
      <c r="Y119" s="5">
        <f>COUNTIFS(   A4:A1440,"2019", D4:D1440,"Tratamiento de Aguas")</f>
        <v>0</v>
      </c>
      <c r="Z119" s="5">
        <f>COUNTIFS(   A4:A1440,"2020", D4:D1440,"Tratamiento de Aguas")</f>
        <v>4</v>
      </c>
      <c r="AA119" s="5">
        <f>COUNTIFS(   A4:A1440,"2021", D4:D1440,"Tratamiento de Aguas")</f>
        <v>2</v>
      </c>
      <c r="AB119" s="5">
        <f>COUNTIFS(  A4:A1440,"2022", D4:D1440,"Tratamiento de Aguas")</f>
        <v>0</v>
      </c>
      <c r="AC119" s="19">
        <f>COUNTIFS(   N4:N1440,"2018", D4:D1440,"Tratamiento de Aguas")</f>
        <v>0</v>
      </c>
      <c r="AD119" s="5">
        <f>COUNTIFS(   N4:N1440,"2019", D4:D1440,"Tratamiento de Aguas")</f>
        <v>2</v>
      </c>
      <c r="AE119" s="5">
        <f>COUNTIFS(   N4:N1440,"2020", D4:D1440,"Tratamiento de Aguas")</f>
        <v>1</v>
      </c>
      <c r="AF119" s="5">
        <f>COUNTIFS(   N4:N1440,"2021", D4:D1440,"Tratamiento de Aguas")</f>
        <v>4</v>
      </c>
      <c r="AG119" s="5">
        <f>COUNTIFS(   N4:N1440,"2022", D4:D1440,"Tratamiento de Aguas")</f>
        <v>1</v>
      </c>
      <c r="AH119" s="5">
        <f>COUNTIFS(   D4:D1440,"Tratamiento de Aguas",G4:G1440,"Sí")</f>
        <v>0</v>
      </c>
      <c r="AI119" s="5">
        <f>COUNTIFS(   D4:D1440,"Tratamiento de Aguas",G4:G1440,"No")</f>
        <v>8</v>
      </c>
      <c r="AJ119" s="5">
        <f>SUMIFS( E4:E1440, D4:D1440,"Tratamiento de Aguas",G4:G1440,"Sí")</f>
        <v>0</v>
      </c>
      <c r="AK119" s="5">
        <f>SUMIFS( E4:E1440, D4:D1440,"Tratamiento de Aguas",G4:G1440,"No")</f>
        <v>51</v>
      </c>
      <c r="AL119" s="5">
        <f>COUNTIFS(   D4:D1440,"Tratamiento de Aguas",H4:H1440,"Sí")</f>
        <v>8</v>
      </c>
      <c r="AM119" s="5">
        <f>COUNTIFS(   D4:D1440,"Tratamiento de Aguas",I4:I1440,"Sí")</f>
        <v>2</v>
      </c>
      <c r="AN119" s="5">
        <f>COUNTIFS(   D4:D1440,"Tratamiento de Aguas",I4:I1440,"No")</f>
        <v>6</v>
      </c>
      <c r="AO119" s="5">
        <f>SUMIFS( E4:E1440, D4:D1440,"Tratamiento de Aguas",I4:I1440,"Sí")</f>
        <v>38</v>
      </c>
      <c r="AP119" s="5">
        <f>SUMIFS( E4:E1440, D4:D1440,"Tratamiento de Aguas",I4:I1440,"No")</f>
        <v>13</v>
      </c>
      <c r="AQ119" s="5">
        <f>COUNTIFS(   D4:D1440,"Tratamiento de Aguas",J4:J1440,"Sí")</f>
        <v>8</v>
      </c>
      <c r="AR119" s="5">
        <f>COUNTIFS(   D4:D1440,"Tratamiento de Aguas",K4:K1440,"Sí")</f>
        <v>2</v>
      </c>
      <c r="AS119" s="5">
        <f>COUNTIFS(   D4:D1440,"Tratamiento de Aguas",L4:L1440,"Sí")</f>
        <v>0</v>
      </c>
      <c r="AT119" s="5">
        <f>SUMIFS( E4:E1440, D4:D1440,"Tratamiento de Aguas")</f>
        <v>51</v>
      </c>
      <c r="AU119" s="5">
        <f>SUMIFS( E4:E1440, F4:F1440,"Hombre", D4:D1440,"Tratamiento de Aguas")</f>
        <v>51</v>
      </c>
      <c r="AV119" s="5">
        <f>SUMIFS( E4:E1440, F4:F1440,"Mujer", D4:D1440,"Tratamiento de Aguas")</f>
        <v>0</v>
      </c>
      <c r="AW119" s="19">
        <f>SUMIFS( E4:E1440, A4:A1440,"2018", D4:D1440,"Tratamiento de Aguas")</f>
        <v>37</v>
      </c>
      <c r="AX119" s="5">
        <f>SUMIFS( E4:E1440, A4:A1440,"2019", D4:D1440,"Tratamiento de Aguas")</f>
        <v>0</v>
      </c>
      <c r="AY119" s="5">
        <f>SUMIFS( E4:E1440, A4:A1440,"2020", D4:D1440,"Tratamiento de Aguas")</f>
        <v>11</v>
      </c>
      <c r="AZ119" s="5">
        <f>SUMIFS( E4:E1440, A4:A1440,"2021", D4:D1440,"Tratamiento de Aguas")</f>
        <v>3</v>
      </c>
      <c r="BA119" s="5">
        <f>SUMIFS( E4:E1440, A4:A1440,"2022", D4:D1440,"Tratamiento de Aguas")</f>
        <v>0</v>
      </c>
      <c r="BB119" s="19">
        <f>SUMIFS( E4:E1440, N4:N1440,"2018", D4:D1440,"Tratamiento de Aguas")</f>
        <v>0</v>
      </c>
      <c r="BC119" s="5">
        <f>SUMIFS( E4:E1440, N4:N1440,"2019", D4:D1440,"Tratamiento de Aguas")</f>
        <v>37</v>
      </c>
      <c r="BD119" s="5">
        <f>SUMIFS( E4:E1440, N4:N1440,"2020", D4:D1440,"Tratamiento de Aguas")</f>
        <v>1</v>
      </c>
      <c r="BE119" s="5">
        <f>SUMIFS( E4:E1440, N4:N1440,"2021", D4:D1440,"Tratamiento de Aguas")</f>
        <v>11</v>
      </c>
      <c r="BF119" s="5">
        <f>SUMIFS( E4:E1440, N4:N1440,"2022", D4:D1440,"Tratamiento de Aguas")</f>
        <v>2</v>
      </c>
      <c r="BG119" s="14">
        <f>AVERAGEIFS( E4:E1440, D4:D1440,"Tratamiento de Aguas")</f>
        <v>6.375</v>
      </c>
      <c r="BH119" s="14">
        <v>0</v>
      </c>
      <c r="BI119" s="14">
        <v>0</v>
      </c>
      <c r="BJ119" s="14">
        <f>AVERAGEIFS( E4:E1440, A4:A1440,"2020", D4:D1440,"Tratamiento de Aguas")</f>
        <v>2.75</v>
      </c>
      <c r="BK119" s="14">
        <f>AVERAGEIFS( E4:E1440, A4:A1440,"2021", D4:D1440,"Tratamiento de Aguas")</f>
        <v>1.5</v>
      </c>
      <c r="BL119" s="37">
        <v>0</v>
      </c>
      <c r="BM119" s="14">
        <v>5</v>
      </c>
      <c r="BN119" s="14">
        <v>0</v>
      </c>
      <c r="BO119" s="14">
        <v>0</v>
      </c>
      <c r="BP119" s="14">
        <v>5</v>
      </c>
      <c r="BQ119" s="14">
        <v>5</v>
      </c>
      <c r="BR119" s="14">
        <v>0</v>
      </c>
    </row>
    <row r="120" spans="1:70" ht="15" customHeight="1">
      <c r="A120" s="24">
        <v>2018</v>
      </c>
      <c r="B120" s="24" t="s">
        <v>78</v>
      </c>
      <c r="C120" s="24" t="s">
        <v>681</v>
      </c>
      <c r="D120" s="24" t="s">
        <v>131</v>
      </c>
      <c r="E120" s="23"/>
      <c r="F120" s="24" t="s">
        <v>207</v>
      </c>
      <c r="G120" s="24" t="s">
        <v>225</v>
      </c>
      <c r="H120" s="23" t="s">
        <v>225</v>
      </c>
      <c r="I120" s="24" t="s">
        <v>226</v>
      </c>
      <c r="J120" s="23" t="s">
        <v>226</v>
      </c>
      <c r="K120" s="24" t="s">
        <v>226</v>
      </c>
      <c r="L120" s="23"/>
      <c r="M120" s="25">
        <v>43467</v>
      </c>
      <c r="N120" s="24">
        <v>2019</v>
      </c>
      <c r="O120" s="40" t="s">
        <v>66</v>
      </c>
      <c r="P120" s="41"/>
      <c r="Q120" s="41"/>
      <c r="R120" s="41"/>
      <c r="S120" s="41"/>
      <c r="T120" s="42"/>
      <c r="U120" s="4">
        <f>COUNTIFS(   C4:C1440,"Matemáticas")</f>
        <v>9</v>
      </c>
      <c r="V120" s="4">
        <f>COUNTIFS(   C4:C1440,"Matemáticas",F4:F1440,"Hombre")</f>
        <v>8</v>
      </c>
      <c r="W120" s="4">
        <f>COUNTIFS(   C4:C1440,"Matemáticas",F4:F1440,"Mujer")</f>
        <v>1</v>
      </c>
      <c r="X120" s="18">
        <f>COUNTIFS(   A4:A1440,"2018", C4:C1440,"Matemáticas")</f>
        <v>4</v>
      </c>
      <c r="Y120" s="4">
        <f>COUNTIFS(   A4:A1440,"2019", C4:C1440,"Matemáticas")</f>
        <v>4</v>
      </c>
      <c r="Z120" s="4">
        <f>COUNTIFS(   A4:A1440,"2020", C4:C1440,"Matemáticas")</f>
        <v>0</v>
      </c>
      <c r="AA120" s="4">
        <f>COUNTIFS(   A4:A1440,"2021", C4:C1440,"Matemáticas")</f>
        <v>1</v>
      </c>
      <c r="AB120" s="4">
        <f>COUNTIFS(   A4:A1440,"2022", C4:C1440,"Matemáticas")</f>
        <v>0</v>
      </c>
      <c r="AC120" s="18">
        <f>COUNTIFS(   N4:N1440,"2018", C4:C1440,"Matemáticas")</f>
        <v>1</v>
      </c>
      <c r="AD120" s="4">
        <f>COUNTIFS(   N4:N1440,"2019", C4:C1440,"Matemáticas")</f>
        <v>5</v>
      </c>
      <c r="AE120" s="4">
        <f>COUNTIFS(   N4:N1440,"2020", C4:C1440,"Matemáticas")</f>
        <v>2</v>
      </c>
      <c r="AF120" s="4">
        <f>COUNTIFS(   N4:N1440,"2021", C4:C1440,"Matemáticas")</f>
        <v>0</v>
      </c>
      <c r="AG120" s="4">
        <f>COUNTIFS(   N4:N1440,"2022", C4:C1440,"Matemáticas")</f>
        <v>1</v>
      </c>
      <c r="AH120" s="4">
        <f>COUNTIFS(   C4:C1440,"Matemáticas",G4:G1440,"Sí")</f>
        <v>2</v>
      </c>
      <c r="AI120" s="4">
        <f>COUNTIFS(   C4:C1440,"Matemáticas",G4:G1440,"No")</f>
        <v>7</v>
      </c>
      <c r="AJ120" s="4">
        <f>SUMIFS( E4:E1440, C4:C1440,"Matemáticas",G4:G1440,"Sí")</f>
        <v>1</v>
      </c>
      <c r="AK120" s="4">
        <f>SUMIFS( E4:E1440, C4:C1440,"Matemáticas",G4:G1440,"No")</f>
        <v>24</v>
      </c>
      <c r="AL120" s="4">
        <f>COUNTIFS(   C4:C1440,"Matemáticas",H4:H1440,"Sí")</f>
        <v>5</v>
      </c>
      <c r="AM120" s="4">
        <f>COUNTIFS(   C4:C1440,"Matemáticas",I4:I1440,"Sí")</f>
        <v>3</v>
      </c>
      <c r="AN120" s="4">
        <f>COUNTIFS(   C4:C1440,"Matemáticas",I4:I1440,"No")</f>
        <v>6</v>
      </c>
      <c r="AO120" s="4">
        <f>SUMIFS( E4:E1440, C4:C1440,"Matemáticas",I4:I1440,"Sí")</f>
        <v>19</v>
      </c>
      <c r="AP120" s="4">
        <f>SUMIFS( E4:E1440, C4:C1440,"Matemáticas",I4:I1440,"No")</f>
        <v>6</v>
      </c>
      <c r="AQ120" s="4">
        <f>COUNTIFS(   C4:C1440,"Matemáticas",J4:J1440,"Sí")</f>
        <v>9</v>
      </c>
      <c r="AR120" s="4">
        <f>COUNTIFS(   C4:C1440,"Matemáticas",K4:K1440,"Sí")</f>
        <v>5</v>
      </c>
      <c r="AS120" s="4">
        <f>COUNTIFS(   C4:C1440,"Matemáticas",L4:L1440,"Sí")</f>
        <v>0</v>
      </c>
      <c r="AT120" s="4">
        <f>SUMIFS( E4:E1440, C4:C1440,"Matemáticas")</f>
        <v>25</v>
      </c>
      <c r="AU120" s="4">
        <f>SUMIFS( E4:E1440, F4:F1440,"Hombre", C4:C1440,"Matemáticas")</f>
        <v>21</v>
      </c>
      <c r="AV120" s="4">
        <f>SUMIFS( E4:E1440, F4:F1440,"Mujer", C4:C1440,"Matemáticas")</f>
        <v>4</v>
      </c>
      <c r="AW120" s="18">
        <f>SUMIFS( E4:E1440, A4:A1440,"2018", C4:C1440,"Matemáticas")</f>
        <v>11</v>
      </c>
      <c r="AX120" s="4">
        <f>SUMIFS( E4:E1440, A4:A1440,"2019", C4:C1440,"Matemáticas")</f>
        <v>8</v>
      </c>
      <c r="AY120" s="4">
        <f>SUMIFS( E4:E1440, A4:A1440,"2020", C4:C1440,"Matemáticas")</f>
        <v>0</v>
      </c>
      <c r="AZ120" s="4">
        <f>SUMIFS( E4:E1440, A4:A1440,"2021", C4:C1440,"Matemáticas")</f>
        <v>6</v>
      </c>
      <c r="BA120" s="4">
        <f>SUMIFS( E4:E1440, A4:A1440,"2022", C4:C1440,"Matemáticas")</f>
        <v>0</v>
      </c>
      <c r="BB120" s="18">
        <f>SUMIFS( E4:E1440, N4:N1440,"2018", C4:C1440,"Matemáticas")</f>
        <v>9</v>
      </c>
      <c r="BC120" s="4">
        <f>SUMIFS( E4:E1440, N4:N1440,"2019", C4:C1440,"Matemáticas")</f>
        <v>7</v>
      </c>
      <c r="BD120" s="4">
        <f>SUMIFS( E4:E1440, N4:N1440,"2020", C4:C1440,"Matemáticas")</f>
        <v>3</v>
      </c>
      <c r="BE120" s="4">
        <f>SUMIFS( E4:E1440, N4:N1440,"2021", C4:C1440,"Matemáticas")</f>
        <v>0</v>
      </c>
      <c r="BF120" s="4">
        <f>SUMIFS( E4:E1440, N4:N1440,"2022", C4:C1440,"Matemáticas")</f>
        <v>6</v>
      </c>
      <c r="BG120" s="13">
        <f>AVERAGEIFS( E4:E1440, C4:C1440,"Matemáticas")</f>
        <v>3.5714285714285716</v>
      </c>
      <c r="BH120" s="13">
        <v>0</v>
      </c>
      <c r="BI120" s="13">
        <v>0</v>
      </c>
      <c r="BJ120" s="13">
        <v>0</v>
      </c>
      <c r="BK120" s="13">
        <f>AVERAGEIFS( E4:E1440, A4:A1440,"2021", C4:C1440,"Matemáticas")</f>
        <v>6</v>
      </c>
      <c r="BL120" s="37" t="e">
        <f>AVERAGEIFS( E4:E1440, A4:A1440,"2022", C4:C1440,"Matemáticas")</f>
        <v>#DIV/0!</v>
      </c>
      <c r="BM120" s="13">
        <f>AVERAGE(AT121:AT124)</f>
        <v>6.25</v>
      </c>
      <c r="BN120" s="13">
        <v>0</v>
      </c>
      <c r="BO120" s="13">
        <v>0</v>
      </c>
      <c r="BP120" s="13">
        <v>0</v>
      </c>
      <c r="BQ120" s="13">
        <v>0</v>
      </c>
      <c r="BR120" s="13">
        <f>AVERAGE(BA121:BA124)</f>
        <v>0</v>
      </c>
    </row>
    <row r="121" spans="1:70" ht="15" customHeight="1">
      <c r="A121" s="24">
        <v>2018</v>
      </c>
      <c r="B121" s="24" t="s">
        <v>136</v>
      </c>
      <c r="C121" s="24" t="s">
        <v>176</v>
      </c>
      <c r="D121" s="24" t="s">
        <v>177</v>
      </c>
      <c r="E121" s="23">
        <v>1</v>
      </c>
      <c r="F121" s="24" t="s">
        <v>211</v>
      </c>
      <c r="G121" s="24" t="s">
        <v>225</v>
      </c>
      <c r="H121" s="23" t="s">
        <v>226</v>
      </c>
      <c r="I121" s="24" t="s">
        <v>226</v>
      </c>
      <c r="J121" s="23" t="s">
        <v>226</v>
      </c>
      <c r="K121" s="24" t="s">
        <v>226</v>
      </c>
      <c r="L121" s="23"/>
      <c r="M121" s="25">
        <v>43469</v>
      </c>
      <c r="N121" s="24">
        <v>2019</v>
      </c>
      <c r="O121" s="79" t="s">
        <v>120</v>
      </c>
      <c r="P121" s="77"/>
      <c r="Q121" s="77"/>
      <c r="R121" s="77"/>
      <c r="S121" s="77"/>
      <c r="T121" s="78"/>
      <c r="U121" s="5">
        <f>COUNTIFS(   D4:D1440,"Análisis Funcional. Espacios y Álgebras de Banach. Aplicaciones")</f>
        <v>0</v>
      </c>
      <c r="V121" s="5">
        <f>COUNTIFS(   D4:D1440,"Análisis Funcional. Espacios y Álgebras de Banach. Aplicaciones",F4:F1440,"Hombre")</f>
        <v>0</v>
      </c>
      <c r="W121" s="5">
        <f>COUNTIFS(   D4:D1440,"Análisis Funcional. Espacios y Álgebras de Banach. Aplicaciones",F4:F1440,"Mujer")</f>
        <v>0</v>
      </c>
      <c r="X121" s="19">
        <f>COUNTIFS(   A4:A1440,"2018", D4:D1440,"Análisis Funcional. Espacios y Álgebras de Banach. Aplicaciones")</f>
        <v>0</v>
      </c>
      <c r="Y121" s="5">
        <f>COUNTIFS(   A4:A1440,"2019", D4:D1440,"Análisis Funcional. Espacios y Álgebras de Banach. Aplicaciones")</f>
        <v>0</v>
      </c>
      <c r="Z121" s="5">
        <f>COUNTIFS(   A4:A1440,"2020", D4:D1440,"Análisis Funcional. Espacios y Álgebras de Banach. Aplicaciones")</f>
        <v>0</v>
      </c>
      <c r="AA121" s="5">
        <f>COUNTIFS(   A4:A1440,"2021", D4:D1440,"Análisis Funcional. Espacios y Álgebras de Banach. Aplicaciones")</f>
        <v>0</v>
      </c>
      <c r="AB121" s="5">
        <f>COUNTIFS(  A4:A1440,"2022", D4:D1440,"Análisis Funcional. Espacios y Álgebras de Banach. Aplicaciones")</f>
        <v>0</v>
      </c>
      <c r="AC121" s="19">
        <f>COUNTIFS(   N4:N1440,"2018", D4:D1440,"Análisis Funcional. Espacios y Álgebras de Banach. Aplicaciones")</f>
        <v>0</v>
      </c>
      <c r="AD121" s="5">
        <f>COUNTIFS(   N4:N1440,"2019", D4:D1440,"Análisis Funcional. Espacios y Álgebras de Banach. Aplicaciones")</f>
        <v>0</v>
      </c>
      <c r="AE121" s="5">
        <f>COUNTIFS(   N4:N1440,"2020", D4:D1440,"Análisis Funcional. Espacios y Álgebras de Banach. Aplicaciones")</f>
        <v>0</v>
      </c>
      <c r="AF121" s="5">
        <f>COUNTIFS(   N4:N1440,"2021", D4:D1440,"Análisis Funcional. Espacios y Álgebras de Banach. Aplicaciones")</f>
        <v>0</v>
      </c>
      <c r="AG121" s="5">
        <f>COUNTIFS(   N4:N1440,"2022", D4:D1440,"Análisis Funcional. Espacios y Álgebras de Banach. Aplicaciones")</f>
        <v>0</v>
      </c>
      <c r="AH121" s="5">
        <f>COUNTIFS(   D4:D1440,"Análisis Funcional. Espacios y Álgebras de Banach. Aplicaciones",G4:G1440,"Sí")</f>
        <v>0</v>
      </c>
      <c r="AI121" s="5">
        <f>COUNTIFS(   D4:D1440,"Análisis Funcional. Espacios y Álgebras de Banach. Aplicaciones",G4:G1440,"No")</f>
        <v>0</v>
      </c>
      <c r="AJ121" s="5">
        <f>SUMIFS( E4:E1440, D4:D1440,"Análisis Funcional. Espacios y Álgebras de Banach. Aplicaciones",G4:G1440,"Sí")</f>
        <v>0</v>
      </c>
      <c r="AK121" s="5">
        <f>SUMIFS( E4:E1440, D4:D1440,"Análisis Funcional. Espacios y Álgebras de Banach. Aplicaciones",G4:G1440,"No")</f>
        <v>0</v>
      </c>
      <c r="AL121" s="5">
        <f>COUNTIFS(   D4:D1440,"Análisis Funcional. Espacios y Álgebras de Banach. Aplicaciones",H4:H1440,"Sí")</f>
        <v>0</v>
      </c>
      <c r="AM121" s="5">
        <f>COUNTIFS(   D4:D1440,"Análisis Funcional. Espacios y Álgebras de Banach. Aplicaciones",I4:I1440,"Sí")</f>
        <v>0</v>
      </c>
      <c r="AN121" s="5">
        <f>COUNTIFS(   D4:D1440,"Análisis Funcional. Espacios y Álgebras de Banach. Aplicaciones",I4:I1440,"No")</f>
        <v>0</v>
      </c>
      <c r="AO121" s="5">
        <f>SUMIFS( E4:E1440, D4:D1440,"Análisis Funcional. Espacios y Álgebras de Banach. Aplicaciones",I4:I1440,"Sí")</f>
        <v>0</v>
      </c>
      <c r="AP121" s="5">
        <f>SUMIFS( E4:E1440, D4:D1440,"Análisis Funcional. Espacios y Álgebras de Banach. Aplicaciones",I4:I1440,"No")</f>
        <v>0</v>
      </c>
      <c r="AQ121" s="5">
        <f>COUNTIFS(   D4:D1440,"Análisis Funcional. Espacios y Álgebras de Banach. Aplicaciones",J4:J1440,"Sí")</f>
        <v>0</v>
      </c>
      <c r="AR121" s="5">
        <f>COUNTIFS(   D4:D1440,"Análisis Funcional. Espacios y Álgebras de Banach. Aplicaciones",K4:K1440,"Sí")</f>
        <v>0</v>
      </c>
      <c r="AS121" s="5">
        <f>COUNTIFS(   D4:D1440,"Análisis Funcional. Espacios y Álgebras de Banach. Aplicaciones",L4:L1440,"Sí")</f>
        <v>0</v>
      </c>
      <c r="AT121" s="5">
        <f>SUMIFS( E4:E1440, D4:D1440,"Análisis Funcional. Espacios y Álgebras de Banach. Aplicaciones")</f>
        <v>0</v>
      </c>
      <c r="AU121" s="5">
        <f>SUMIFS( E4:E1440, F4:F1440,"Hombre", D4:D1440,"Análisis Funcional. Espacios y Álgebras de Banach. Aplicaciones")</f>
        <v>0</v>
      </c>
      <c r="AV121" s="5">
        <f>SUMIFS( E4:E1440, F4:F1440,"Mujer", D4:D1440,"Análisis Funcional. Espacios y Álgebras de Banach. Aplicaciones")</f>
        <v>0</v>
      </c>
      <c r="AW121" s="19">
        <f>SUMIFS( E4:E1440, A4:A1440,"2018", D4:D1440,"Análisis Funcional. Espacios y Álgebras de Banach. Aplicaciones")</f>
        <v>0</v>
      </c>
      <c r="AX121" s="5">
        <f>SUMIFS( E4:E1440, A4:A1440,"2019", D4:D1440,"Análisis Funcional. Espacios y Álgebras de Banach. Aplicaciones")</f>
        <v>0</v>
      </c>
      <c r="AY121" s="5">
        <f>SUMIFS( E4:E1440, A4:A1440,"2020", D4:D1440,"Análisis Funcional. Espacios y Álgebras de Banach. Aplicaciones")</f>
        <v>0</v>
      </c>
      <c r="AZ121" s="5">
        <f>SUMIFS( E4:E1440, A4:A1440,"2021", D4:D1440,"Análisis Funcional. Espacios y Álgebras de Banach. Aplicaciones")</f>
        <v>0</v>
      </c>
      <c r="BA121" s="5">
        <f>SUMIFS( E4:E1440, A4:A1440,"2022", D4:D1440,"Análisis Funcional. Espacios y Álgebras de Banach. Aplicaciones")</f>
        <v>0</v>
      </c>
      <c r="BB121" s="19">
        <f>SUMIFS( E4:E1440, N4:N1440,"2018", D4:D1440,"Análisis Funcional. Espacios y Álgebras de Banach. Aplicaciones")</f>
        <v>0</v>
      </c>
      <c r="BC121" s="5">
        <f>SUMIFS( E4:E1440, N4:N1440,"2019", D4:D1440,"Análisis Funcional. Espacios y Álgebras de Banach. Aplicaciones")</f>
        <v>0</v>
      </c>
      <c r="BD121" s="5">
        <f>SUMIFS( E4:E1440, N4:N1440,"2020", D4:D1440,"Análisis Funcional. Espacios y Álgebras de Banach. Aplicaciones")</f>
        <v>0</v>
      </c>
      <c r="BE121" s="5">
        <f>SUMIFS( E4:E1440, N4:N1440,"2021", D4:D1440,"Análisis Funcional. Espacios y Álgebras de Banach. Aplicaciones")</f>
        <v>0</v>
      </c>
      <c r="BF121" s="5">
        <f>SUMIFS( E4:E1440, N4:N1440,"2022", D4:D1440,"Análisis Funcional. Espacios y Álgebras de Banach. Aplicaciones")</f>
        <v>0</v>
      </c>
      <c r="BG121" s="14" t="e">
        <f>AVERAGEIFS( E4:E1440, D4:D1440,"Análisis Funcional. Espacios y Álgebras de Banach. Aplicaciones")</f>
        <v>#DIV/0!</v>
      </c>
      <c r="BH121" s="14">
        <v>0</v>
      </c>
      <c r="BI121" s="14">
        <v>0</v>
      </c>
      <c r="BJ121" s="14">
        <v>0</v>
      </c>
      <c r="BK121" s="14">
        <v>0</v>
      </c>
      <c r="BL121" s="37" t="e">
        <f>AVERAGEIFS( E4:E1440, A4:A1440,"2022", D4:D1440,"Análisis Funcional. Espacios y Álgebras de Banach. Aplicaciones")</f>
        <v>#DIV/0!</v>
      </c>
      <c r="BM121" s="14">
        <v>2</v>
      </c>
      <c r="BN121" s="14">
        <v>0</v>
      </c>
      <c r="BO121" s="14">
        <v>0</v>
      </c>
      <c r="BP121" s="14">
        <v>0</v>
      </c>
      <c r="BQ121" s="14">
        <v>0</v>
      </c>
      <c r="BR121" s="14">
        <v>2</v>
      </c>
    </row>
    <row r="122" spans="1:70" ht="15" customHeight="1">
      <c r="A122" s="24">
        <v>2018</v>
      </c>
      <c r="B122" s="24" t="s">
        <v>136</v>
      </c>
      <c r="C122" s="24" t="s">
        <v>137</v>
      </c>
      <c r="D122" s="24" t="s">
        <v>141</v>
      </c>
      <c r="E122" s="23">
        <v>2</v>
      </c>
      <c r="F122" s="24" t="s">
        <v>211</v>
      </c>
      <c r="G122" s="24" t="s">
        <v>225</v>
      </c>
      <c r="H122" s="23" t="s">
        <v>226</v>
      </c>
      <c r="I122" s="24" t="s">
        <v>226</v>
      </c>
      <c r="J122" s="23" t="s">
        <v>226</v>
      </c>
      <c r="K122" s="24" t="s">
        <v>226</v>
      </c>
      <c r="L122" s="23"/>
      <c r="M122" s="25">
        <v>43472</v>
      </c>
      <c r="N122" s="24">
        <v>2019</v>
      </c>
      <c r="O122" s="51" t="s">
        <v>366</v>
      </c>
      <c r="P122" s="52"/>
      <c r="Q122" s="52"/>
      <c r="R122" s="52"/>
      <c r="S122" s="52"/>
      <c r="T122" s="53"/>
      <c r="U122" s="5">
        <f>COUNTIFS(   D4:D1440,"Teoría de aproximación")</f>
        <v>2</v>
      </c>
      <c r="V122" s="5">
        <f>COUNTIFS(   D4:D1440,"Teoría de aproximación",F4:F1440,"Hombre")</f>
        <v>2</v>
      </c>
      <c r="W122" s="5">
        <f>COUNTIFS(   D4:D1440,"Teoría de aproximación",F4:F1440,"Mujer")</f>
        <v>0</v>
      </c>
      <c r="X122" s="19">
        <f>COUNTIFS(   A4:A1440,"2018", D4:D1440,"Teoría de aproximación")</f>
        <v>2</v>
      </c>
      <c r="Y122" s="5">
        <f>COUNTIFS(   A2:A1438,"2019", D2:D1438,"Teoría de aproximación")</f>
        <v>0</v>
      </c>
      <c r="Z122" s="5">
        <f>COUNTIFS(   A2:A1438,"2020", D2:D1438,"Teoría de aproximación")</f>
        <v>0</v>
      </c>
      <c r="AA122" s="5">
        <f>COUNTIFS(   A2:A1438,"2021", D2:D1438,"Teoría de aproximación")</f>
        <v>0</v>
      </c>
      <c r="AB122" s="5">
        <f>COUNTIFS(  A4:A1440,"2022", D4:D1440,"Teoría de aproximación")</f>
        <v>0</v>
      </c>
      <c r="AC122" s="19">
        <f>COUNTIFS(   N2:N1438,"2018", D2:D1438,"Teoría de aproximación")</f>
        <v>0</v>
      </c>
      <c r="AD122" s="5">
        <f>COUNTIFS(   N2:N1438,"2019", D2:D1438,"Teoría de aproximación")</f>
        <v>2</v>
      </c>
      <c r="AE122" s="5">
        <f>COUNTIFS(   N2:N1438,"2020", D2:D1438,"Teoría de aproximación")</f>
        <v>0</v>
      </c>
      <c r="AF122" s="5">
        <f>COUNTIFS(   N2:N1438,"2021", D2:D1438,"Teoría de aproximación")</f>
        <v>0</v>
      </c>
      <c r="AG122" s="5">
        <f>COUNTIFS(   N2:N1438,"2022", D2:D1438,"Teoría de aproximación")</f>
        <v>0</v>
      </c>
      <c r="AH122" s="5">
        <f>COUNTIFS(   D2:D1438,"Teoría de aproximación",G2:G1438,"Sí")</f>
        <v>0</v>
      </c>
      <c r="AI122" s="5">
        <f>COUNTIFS(   D2:D1438,"Teoría de aproximación",G2:G1438,"No")</f>
        <v>2</v>
      </c>
      <c r="AJ122" s="5">
        <f>SUMIFS( E2:E1438, D2:D1438,"Teoría de aproximación",G2:G1438,"Sí")</f>
        <v>0</v>
      </c>
      <c r="AK122" s="5">
        <f>SUMIFS( E2:E1438, D2:D1438,"Teoría de aproximación",G2:G1438,"No")</f>
        <v>2</v>
      </c>
      <c r="AL122" s="32">
        <f>COUNTIFS(   D2:D1438,"Teoría de aproximación",H2:H1438,"Sí")</f>
        <v>0</v>
      </c>
      <c r="AM122" s="32">
        <f>COUNTIFS(   D2:D1438,"Teoría de aproximación",I2:I1438,"Sí")</f>
        <v>0</v>
      </c>
      <c r="AN122" s="32">
        <f>COUNTIFS(   D2:D1438,"Teoría de aproximación",I2:I1438,"No")</f>
        <v>2</v>
      </c>
      <c r="AO122" s="32">
        <f>SUMIFS( E2:E1438, D2:D1438,"Teoría de aproximación",I2:I1438,"Sí")</f>
        <v>0</v>
      </c>
      <c r="AP122" s="32">
        <f>SUMIFS( E2:E1438, D2:D1438,"Teoría de aproximación",I2:I1438,"No")</f>
        <v>2</v>
      </c>
      <c r="AQ122" s="32">
        <f>COUNTIFS(   D2:D1438,"Teoría de aproximación",J2:J1438,"Sí")</f>
        <v>2</v>
      </c>
      <c r="AR122" s="32">
        <f>COUNTIFS(   D2:D1438,"Teoría de aproximación",K2:K1438,"Sí")</f>
        <v>2</v>
      </c>
      <c r="AS122" s="32">
        <f>COUNTIFS(   D2:D1438,"Teoría de aproximación",L2:L1438,"Sí")</f>
        <v>0</v>
      </c>
      <c r="AT122" s="32">
        <f>SUMIFS( E2:E1438, D2:D1438,"Teoría de aproximación")</f>
        <v>2</v>
      </c>
      <c r="AU122" s="32">
        <f>SUMIFS( E2:E1438, F2:F1438,"Hombre", D2:D1438,"Teoría de aproximación")</f>
        <v>2</v>
      </c>
      <c r="AV122" s="32">
        <f>SUMIFS( E2:E1438, F2:F1438,"Mujer", D2:D1438,"Teoría de aproximación")</f>
        <v>0</v>
      </c>
      <c r="AW122" s="33">
        <f>SUMIFS( E2:E1438, A2:A1438,"2018", D2:D1438,"Teoría de aproximación")</f>
        <v>2</v>
      </c>
      <c r="AX122" s="32">
        <f>SUMIFS( E2:E1438, A2:A1438,"2019", D2:D1438,"Teoría de aproximación")</f>
        <v>0</v>
      </c>
      <c r="AY122" s="32">
        <f>SUMIFS( E2:E1438, A2:A1438,"2020", D2:D1438,"Teoría de aproximación")</f>
        <v>0</v>
      </c>
      <c r="AZ122" s="32">
        <f>SUMIFS( E2:E1438, A2:A1438,"2021", D2:D1438,"Teoría de aproximación")</f>
        <v>0</v>
      </c>
      <c r="BA122" s="32">
        <f>SUMIFS( E2:E1438, A2:A1438,"2022", D2:D1438,"Teoría de aproximación")</f>
        <v>0</v>
      </c>
      <c r="BB122" s="33">
        <f>SUMIFS( E2:E1438, N2:N1438,"2018", D2:D1438,"Teoría de aproximación")</f>
        <v>0</v>
      </c>
      <c r="BC122" s="32">
        <f>SUMIFS( E2:E1438, N2:N1438,"2019", D2:D1438,"Teoría de aproximación")</f>
        <v>2</v>
      </c>
      <c r="BD122" s="32">
        <f>SUMIFS( E2:E1438, N2:N1438,"2020", D2:D1438,"Teoría de aproximación")</f>
        <v>0</v>
      </c>
      <c r="BE122" s="32">
        <f>SUMIFS( E2:E1438, N2:N1438,"2021", D2:D1438,"Teoría de aproximación")</f>
        <v>0</v>
      </c>
      <c r="BF122" s="5"/>
      <c r="BG122" s="14"/>
      <c r="BH122" s="14"/>
      <c r="BI122" s="14"/>
      <c r="BJ122" s="14"/>
      <c r="BK122" s="14"/>
      <c r="BL122" s="37"/>
      <c r="BM122" s="14"/>
      <c r="BN122" s="14"/>
      <c r="BO122" s="14"/>
      <c r="BP122" s="14"/>
      <c r="BQ122" s="14"/>
      <c r="BR122" s="14"/>
    </row>
    <row r="123" spans="1:70" ht="15" customHeight="1">
      <c r="A123" s="24">
        <v>2018</v>
      </c>
      <c r="B123" s="24" t="s">
        <v>78</v>
      </c>
      <c r="C123" s="24" t="s">
        <v>79</v>
      </c>
      <c r="D123" s="24" t="s">
        <v>292</v>
      </c>
      <c r="E123" s="23">
        <v>20</v>
      </c>
      <c r="F123" s="24" t="s">
        <v>207</v>
      </c>
      <c r="G123" s="24" t="s">
        <v>225</v>
      </c>
      <c r="H123" s="23" t="s">
        <v>226</v>
      </c>
      <c r="I123" s="24" t="s">
        <v>226</v>
      </c>
      <c r="J123" s="23" t="s">
        <v>226</v>
      </c>
      <c r="K123" s="24" t="s">
        <v>226</v>
      </c>
      <c r="L123" s="23"/>
      <c r="M123" s="26" t="s">
        <v>293</v>
      </c>
      <c r="N123" s="24">
        <v>2019</v>
      </c>
      <c r="O123" s="51" t="s">
        <v>393</v>
      </c>
      <c r="P123" s="52"/>
      <c r="Q123" s="52"/>
      <c r="R123" s="52"/>
      <c r="S123" s="52"/>
      <c r="T123" s="53"/>
      <c r="U123" s="32">
        <f>COUNTIFS(   D5:D1441,"Ecuaciones Diferenciales. Análisis Numérico y Aplicaciones")</f>
        <v>1</v>
      </c>
      <c r="V123" s="32">
        <f>COUNTIFS(   D5:D1441,"Ecuaciones Diferenciales. Análisis Numérico y Aplicaciones",F5:F1441,"Hombre")</f>
        <v>0</v>
      </c>
      <c r="W123" s="32">
        <f>COUNTIFS(   D5:D1441,"Ecuaciones Diferenciales. Análisis Numérico y Aplicaciones",F5:F1441,"Mujer")</f>
        <v>1</v>
      </c>
      <c r="X123" s="33">
        <f>COUNTIFS(   A5:A1441,"2018", D5:D1441,"Ecuaciones Diferenciales. Análisis Numérico y Aplicaciones")</f>
        <v>0</v>
      </c>
      <c r="Y123" s="32">
        <f>COUNTIFS(   A3:A1439,"2019", D3:D1439,"Ecuaciones Diferenciales. Análisis Numérico y Aplicaciones")</f>
        <v>1</v>
      </c>
      <c r="Z123" s="32">
        <f>COUNTIFS(   A3:A1439,"2020", D3:D1439,"Ecuaciones Diferenciales. Análisis Numérico y Aplicaciones")</f>
        <v>0</v>
      </c>
      <c r="AA123" s="32">
        <f>COUNTIFS(   A3:A1439,"2021", D3:D1439,"Ecuaciones Diferenciales. Análisis Numérico y Aplicaciones")</f>
        <v>0</v>
      </c>
      <c r="AB123" s="32">
        <f>COUNTIFS(  A5:A1441,"2022", D5:D1441,"Ecuaciones Diferenciales. Análisis Numérico y Aplicaciones")</f>
        <v>0</v>
      </c>
      <c r="AC123" s="33">
        <f>COUNTIFS(   N3:N1439,"2018", D3:D1439,"Ecuaciones Diferenciales. Análisis Numérico y Aplicaciones")</f>
        <v>0</v>
      </c>
      <c r="AD123" s="32">
        <f>COUNTIFS(   N3:N1439,"2019", D3:D1439,"Ecuaciones Diferenciales. Análisis Numérico y Aplicaciones")</f>
        <v>1</v>
      </c>
      <c r="AE123" s="32">
        <f>COUNTIFS(   N3:N1439,"2020", D3:D1439,"Ecuaciones Diferenciales. Análisis Numérico y Aplicaciones")</f>
        <v>0</v>
      </c>
      <c r="AF123" s="32">
        <f>COUNTIFS(   N3:N1439,"2021", D3:D1439,"Ecuaciones Diferenciales. Análisis Numérico y Aplicaciones")</f>
        <v>0</v>
      </c>
      <c r="AG123" s="32">
        <f>COUNTIFS(   N3:N1439,"2022", D3:D1439,"Ecuaciones Diferenciales. Análisis Numérico y Aplicaciones")</f>
        <v>0</v>
      </c>
      <c r="AH123" s="32">
        <f>COUNTIFS(   D3:D1439,"Ecuaciones Diferenciales. Análisis Numérico y Aplicaciones",G3:G1439,"Sí")</f>
        <v>0</v>
      </c>
      <c r="AI123" s="32">
        <f>COUNTIFS(   D3:D1439,"Ecuaciones Diferenciales. Análisis Numérico y Aplicaciones",G3:G1439,"No")</f>
        <v>1</v>
      </c>
      <c r="AJ123" s="32">
        <f>SUMIFS( E3:E1439, D3:D1439,"Ecuaciones Diferenciales. Análisis Numérico y Aplicaciones",G3:G1439,"Sí")</f>
        <v>0</v>
      </c>
      <c r="AK123" s="32">
        <f>SUMIFS( E3:E1439, D3:D1439,"Ecuaciones Diferenciales. Análisis Numérico y Aplicaciones",G3:G1439,"No")</f>
        <v>4</v>
      </c>
      <c r="AL123" s="32">
        <f>COUNTIFS(   D3:D1439,"Ecuaciones Diferenciales. Análisis Numérico y Aplicaciones",H3:H1439,"Sí")</f>
        <v>1</v>
      </c>
      <c r="AM123" s="32">
        <f>COUNTIFS(   D3:D1439,"Ecuaciones Diferenciales. Análisis Numérico y Aplicaciones",I3:I1439,"Sí")</f>
        <v>1</v>
      </c>
      <c r="AN123" s="32">
        <f>COUNTIFS(   D3:D1439,"Ecuaciones Diferenciales. Análisis Numérico y Aplicaciones",I3:I1439,"No")</f>
        <v>0</v>
      </c>
      <c r="AO123" s="32">
        <f>SUMIFS( E3:E1439, D3:D1439,"Ecuaciones Diferenciales. Análisis Numérico y Aplicaciones",I3:I1439,"Sí")</f>
        <v>4</v>
      </c>
      <c r="AP123" s="32">
        <f>SUMIFS( E3:E1439, D3:D1439,"Ecuaciones Diferenciales. Análisis Numérico y Aplicaciones",I3:I1439,"No")</f>
        <v>0</v>
      </c>
      <c r="AQ123" s="32">
        <f>COUNTIFS(   D3:D1439,"Ecuaciones Diferenciales. Análisis Numérico y Aplicaciones",J3:J1439,"Sí")</f>
        <v>1</v>
      </c>
      <c r="AR123" s="32">
        <f>COUNTIFS(   D3:D1439,"Ecuaciones Diferenciales. Análisis Numérico y Aplicaciones",K3:K1439,"Sí")</f>
        <v>1</v>
      </c>
      <c r="AS123" s="32">
        <f>COUNTIFS(   D3:D1439,"Ecuaciones Diferenciales. Análisis Numérico y Aplicaciones",L3:L1439,"Sí")</f>
        <v>0</v>
      </c>
      <c r="AT123" s="32">
        <f>SUMIFS( E3:E1439, D3:D1439,"Ecuaciones Diferenciales. Análisis Numérico y Aplicaciones")</f>
        <v>4</v>
      </c>
      <c r="AU123" s="32">
        <f>SUMIFS( E3:E1439, F3:F1439,"Hombre", D3:D1439,"Ecuaciones Diferenciales. Análisis Numérico y Aplicaciones")</f>
        <v>0</v>
      </c>
      <c r="AV123" s="32">
        <f>SUMIFS( E3:E1439, F3:F1439,"Mujer", D3:D1439,"Ecuaciones Diferenciales. Análisis Numérico y Aplicaciones")</f>
        <v>4</v>
      </c>
      <c r="AW123" s="33">
        <f>SUMIFS( E3:E1439, A3:A1439,"2018", D3:D1439,"Ecuaciones Diferenciales. Análisis Numérico y Aplicaciones")</f>
        <v>0</v>
      </c>
      <c r="AX123" s="32">
        <f>SUMIFS( E3:E1439, A3:A1439,"2019", D3:D1439,"Ecuaciones Diferenciales. Análisis Numérico y Aplicaciones")</f>
        <v>4</v>
      </c>
      <c r="AY123" s="32">
        <f>SUMIFS( E3:E1439, A3:A1439,"2020", D3:D1439,"Ecuaciones Diferenciales. Análisis Numérico y Aplicaciones")</f>
        <v>0</v>
      </c>
      <c r="AZ123" s="32">
        <f>SUMIFS( E3:E1439, A3:A1439,"2021", D3:D1439,"Ecuaciones Diferenciales. Análisis Numérico y Aplicaciones")</f>
        <v>0</v>
      </c>
      <c r="BA123" s="32">
        <f>SUMIFS( E3:E1439, A3:A1439,"2022", D3:D1439,"Ecuaciones Diferenciales. Análisis Numérico y Aplicaciones")</f>
        <v>0</v>
      </c>
      <c r="BB123" s="33">
        <f>SUMIFS( E3:E1439, N3:N1439,"2018", D3:D1439,"Ecuaciones Diferenciales. Análisis Numérico y Aplicaciones")</f>
        <v>0</v>
      </c>
      <c r="BC123" s="32">
        <f>SUMIFS( E3:E1439, N3:N1439,"2019", D3:D1439,"Ecuaciones Diferenciales. Análisis Numérico y Aplicaciones")</f>
        <v>4</v>
      </c>
      <c r="BD123" s="32">
        <f>SUMIFS( E3:E1439, N3:N1439,"2020", D3:D1439,"Ecuaciones Diferenciales. Análisis Numérico y Aplicaciones")</f>
        <v>0</v>
      </c>
      <c r="BE123" s="32">
        <f>SUMIFS( E3:E1439, N3:N1439,"2021", D3:D1439,"Ecuaciones Diferenciales. Análisis Numérico y Aplicaciones")</f>
        <v>0</v>
      </c>
      <c r="BF123" s="5">
        <f>SUMIFS( E3:E1439, N3:N1439,"2022", D3:D1439,"Ecuaciones Diferenciales. Análisis Numérico y Aplicaciones")</f>
        <v>0</v>
      </c>
      <c r="BG123" s="14">
        <f>AVERAGEIFS( E3:E1439, D3:D1439,"Ecuaciones Diferenciales. Análisis Numérico y Aplicaciones")</f>
        <v>4</v>
      </c>
      <c r="BH123" s="14">
        <v>0</v>
      </c>
      <c r="BI123" s="14">
        <v>0</v>
      </c>
      <c r="BJ123" s="14">
        <v>0</v>
      </c>
      <c r="BK123" s="14" t="e">
        <f>AVERAGEIFS( E4:E1440, A4:A1440,"2021", D4:D1440,"Ecuaciones Diferenciales. Análisis Numérico y Aplicaciones")</f>
        <v>#DIV/0!</v>
      </c>
      <c r="BL123" s="37"/>
      <c r="BM123" s="14"/>
      <c r="BN123" s="14"/>
      <c r="BO123" s="14"/>
      <c r="BP123" s="14"/>
      <c r="BQ123" s="14"/>
      <c r="BR123" s="14"/>
    </row>
    <row r="124" spans="1:70" ht="15" customHeight="1">
      <c r="A124" s="24">
        <v>2018</v>
      </c>
      <c r="B124" s="24" t="s">
        <v>78</v>
      </c>
      <c r="C124" s="24" t="s">
        <v>80</v>
      </c>
      <c r="D124" s="24" t="s">
        <v>83</v>
      </c>
      <c r="E124" s="23"/>
      <c r="F124" s="24" t="s">
        <v>211</v>
      </c>
      <c r="G124" s="23" t="s">
        <v>226</v>
      </c>
      <c r="H124" s="23" t="s">
        <v>225</v>
      </c>
      <c r="I124" s="24" t="s">
        <v>225</v>
      </c>
      <c r="J124" s="23" t="s">
        <v>226</v>
      </c>
      <c r="K124" s="24" t="s">
        <v>226</v>
      </c>
      <c r="L124" s="23"/>
      <c r="M124" s="26" t="s">
        <v>293</v>
      </c>
      <c r="N124" s="24">
        <v>2019</v>
      </c>
      <c r="O124" s="67" t="s">
        <v>121</v>
      </c>
      <c r="P124" s="68"/>
      <c r="Q124" s="68"/>
      <c r="R124" s="68"/>
      <c r="S124" s="68"/>
      <c r="T124" s="69"/>
      <c r="U124" s="5">
        <f>COUNTIFS(   D4:D1440,"Análisis geométrico")</f>
        <v>6</v>
      </c>
      <c r="V124" s="5">
        <f>COUNTIFS(   D4:D1440,"Análisis geométrico",F4:F1440,"Hombre")</f>
        <v>6</v>
      </c>
      <c r="W124" s="5">
        <f>COUNTIFS(   D4:D1440,"Análisis geométrico",F4:F1440,"Mujer")</f>
        <v>0</v>
      </c>
      <c r="X124" s="19">
        <f>COUNTIFS(   A4:A1440,"2018", D4:D1440,"Análisis geométrico")</f>
        <v>2</v>
      </c>
      <c r="Y124" s="5">
        <f>COUNTIFS(   A4:A1440,"2019", D4:D1440,"Análisis geométrico")</f>
        <v>3</v>
      </c>
      <c r="Z124" s="5">
        <f>COUNTIFS(   A4:A1440,"2020", D4:D1440,"Análisis geométrico")</f>
        <v>0</v>
      </c>
      <c r="AA124" s="5">
        <f>COUNTIFS(   A4:A1440,"2021", D4:D1440,"Análisis geométrico")</f>
        <v>1</v>
      </c>
      <c r="AB124" s="5">
        <f>COUNTIFS(  A4:A1440,"2022", D4:D1440,"Análisis geométrico")</f>
        <v>0</v>
      </c>
      <c r="AC124" s="19">
        <f>COUNTIFS(   N4:N1440,"2018", D4:D1440,"Análisis geométrico")</f>
        <v>1</v>
      </c>
      <c r="AD124" s="5">
        <f>COUNTIFS(   N4:N1440,"2019", D4:D1440,"Análisis geométrico")</f>
        <v>2</v>
      </c>
      <c r="AE124" s="5">
        <f>COUNTIFS(   N4:N1440,"2020", D4:D1440,"Análisis geométrico")</f>
        <v>2</v>
      </c>
      <c r="AF124" s="5">
        <f>COUNTIFS(   N4:N1440,"2021", D4:D1440,"Análisis geométrico")</f>
        <v>0</v>
      </c>
      <c r="AG124" s="5">
        <f>COUNTIFS(   N4:N1440,"2022", D4:D1440,"Análisis geométrico")</f>
        <v>1</v>
      </c>
      <c r="AH124" s="5">
        <f>COUNTIFS(   D4:D1440,"Análisis geométrico",G4:G1440,"Sí")</f>
        <v>2</v>
      </c>
      <c r="AI124" s="5">
        <f>COUNTIFS(   D4:D1440,"Análisis geométrico",G4:G1440,"No")</f>
        <v>4</v>
      </c>
      <c r="AJ124" s="5">
        <f>SUMIFS( E4:E1440, D4:D1440,"Análisis geométrico",G4:G1440,"Sí")</f>
        <v>1</v>
      </c>
      <c r="AK124" s="5">
        <f>SUMIFS( E4:E1440, D4:D1440,"Análisis geométrico",G4:G1440,"No")</f>
        <v>18</v>
      </c>
      <c r="AL124" s="5">
        <f>COUNTIFS(   D4:D1440,"Análisis geométrico",H4:H1440,"Sí")</f>
        <v>4</v>
      </c>
      <c r="AM124" s="5">
        <f>COUNTIFS(   D4:D1440,"Análisis geométrico",I4:I1440,"Sí")</f>
        <v>2</v>
      </c>
      <c r="AN124" s="5">
        <f>COUNTIFS(   D4:D1440,"Análisis geométrico",I4:I1440,"No")</f>
        <v>4</v>
      </c>
      <c r="AO124" s="5">
        <f>SUMIFS( E4:E1440, D4:D1440,"Análisis geométrico",I4:I1440,"Sí")</f>
        <v>15</v>
      </c>
      <c r="AP124" s="5">
        <f>SUMIFS( E4:E1440, D4:D1440,"Análisis geométrico",I4:I1440,"No")</f>
        <v>4</v>
      </c>
      <c r="AQ124" s="5">
        <f>COUNTIFS(   D4:D1440,"Análisis geométrico",J4:J1440,"Sí")</f>
        <v>6</v>
      </c>
      <c r="AR124" s="5">
        <f>COUNTIFS(   D4:D1440,"Análisis geométrico",K4:K1440,"Sí")</f>
        <v>2</v>
      </c>
      <c r="AS124" s="5">
        <f>COUNTIFS(   D4:D1440,"Análisis geométrico",L4:L1440,"Sí")</f>
        <v>0</v>
      </c>
      <c r="AT124" s="5">
        <f>SUMIFS( E4:E1440, D4:D1440,"Análisis geométrico")</f>
        <v>19</v>
      </c>
      <c r="AU124" s="5">
        <f>SUMIFS( E4:E1440, F4:F1440,"Hombre", D4:D1440,"Análisis geométrico")</f>
        <v>19</v>
      </c>
      <c r="AV124" s="5">
        <f>SUMIFS( E4:E1440, F4:F1440,"Mujer", D4:D1440,"Análisis geométrico")</f>
        <v>0</v>
      </c>
      <c r="AW124" s="19">
        <f>SUMIFS( E4:E1440, A4:A1440,"2018", D4:D1440,"Análisis geométrico")</f>
        <v>9</v>
      </c>
      <c r="AX124" s="5">
        <f>SUMIFS( E4:E1440, A4:A1440,"2019", D4:D1440,"Análisis geométrico")</f>
        <v>4</v>
      </c>
      <c r="AY124" s="5">
        <f>SUMIFS( E4:E1440, A4:A1440,"2020", D4:D1440,"Análisis geométrico")</f>
        <v>0</v>
      </c>
      <c r="AZ124" s="5">
        <f>SUMIFS( E4:E1440, A4:A1440,"2021", D4:D1440,"Análisis geométrico")</f>
        <v>6</v>
      </c>
      <c r="BA124" s="5">
        <f>SUMIFS( E4:E1440, A4:A1440,"2022", D4:D1440,"Análisis geométrico")</f>
        <v>0</v>
      </c>
      <c r="BB124" s="19">
        <f>SUMIFS( E4:E1440, N4:N1440,"2018", D4:D1440,"Análisis geométrico")</f>
        <v>9</v>
      </c>
      <c r="BC124" s="5">
        <f>SUMIFS( E4:E1440, N4:N1440,"2019", D4:D1440,"Análisis geométrico")</f>
        <v>1</v>
      </c>
      <c r="BD124" s="5">
        <f>SUMIFS( E4:E1440, N4:N1440,"2020", D4:D1440,"Análisis geométrico")</f>
        <v>3</v>
      </c>
      <c r="BE124" s="5">
        <f>SUMIFS( E4:E1440, N4:N1440,"2021", D4:D1440,"Análisis geométrico")</f>
        <v>0</v>
      </c>
      <c r="BF124" s="5">
        <f>SUMIFS( E4:E1440, N4:N1440,"2022", D4:D1440,"Análisis geométrico")</f>
        <v>6</v>
      </c>
      <c r="BG124" s="14">
        <f>AVERAGEIFS( E4:E1440, D4:D1440,"Análisis geométrico")</f>
        <v>4.75</v>
      </c>
      <c r="BH124" s="14">
        <v>0</v>
      </c>
      <c r="BI124" s="14">
        <v>0</v>
      </c>
      <c r="BJ124" s="14">
        <v>0</v>
      </c>
      <c r="BK124" s="14">
        <f>AVERAGEIFS( E4:E1440, A4:A1440,"2021", D4:D1440,"Análisis geométrico")</f>
        <v>6</v>
      </c>
      <c r="BL124" s="37">
        <v>0</v>
      </c>
      <c r="BM124" s="14">
        <v>0</v>
      </c>
      <c r="BN124" s="14">
        <v>0</v>
      </c>
      <c r="BO124" s="14">
        <v>0</v>
      </c>
      <c r="BP124" s="14">
        <v>0</v>
      </c>
      <c r="BQ124" s="14">
        <v>0</v>
      </c>
      <c r="BR124" s="14">
        <v>0</v>
      </c>
    </row>
    <row r="125" spans="1:70" ht="15" customHeight="1">
      <c r="A125" s="24">
        <v>2018</v>
      </c>
      <c r="B125" s="24" t="s">
        <v>136</v>
      </c>
      <c r="C125" s="24" t="s">
        <v>137</v>
      </c>
      <c r="D125" s="24" t="s">
        <v>145</v>
      </c>
      <c r="E125" s="23"/>
      <c r="F125" s="24" t="s">
        <v>207</v>
      </c>
      <c r="G125" s="24" t="s">
        <v>225</v>
      </c>
      <c r="H125" s="23" t="s">
        <v>225</v>
      </c>
      <c r="I125" s="24" t="s">
        <v>225</v>
      </c>
      <c r="J125" s="23" t="s">
        <v>226</v>
      </c>
      <c r="K125" s="24" t="s">
        <v>226</v>
      </c>
      <c r="L125" s="23"/>
      <c r="M125" s="26" t="s">
        <v>294</v>
      </c>
      <c r="N125" s="24">
        <v>2019</v>
      </c>
      <c r="O125" s="40" t="s">
        <v>67</v>
      </c>
      <c r="P125" s="41"/>
      <c r="Q125" s="41"/>
      <c r="R125" s="41"/>
      <c r="S125" s="41"/>
      <c r="T125" s="42"/>
      <c r="U125" s="47">
        <f>COUNTIFS(   C4:C1440,"Química")</f>
        <v>56</v>
      </c>
      <c r="V125" s="4">
        <f>COUNTIFS(   C4:C1440,"Química",F4:F1440,"Hombre")</f>
        <v>28</v>
      </c>
      <c r="W125" s="4">
        <f>COUNTIFS(   C4:C1440,"Química",F4:F1440,"Mujer")</f>
        <v>28</v>
      </c>
      <c r="X125" s="18">
        <f>COUNTIFS(   A4:A1440,"2018", C4:C1440,"Química")</f>
        <v>10</v>
      </c>
      <c r="Y125" s="4">
        <f>COUNTIFS(   A4:A1440,"2019", C4:C1440,"Química")</f>
        <v>21</v>
      </c>
      <c r="Z125" s="4">
        <f>COUNTIFS(   A4:A1440,"2020", C4:C1440,"Química")</f>
        <v>15</v>
      </c>
      <c r="AA125" s="4">
        <f>COUNTIFS(   A4:A1440,"2021", C4:C1440,"Química")</f>
        <v>10</v>
      </c>
      <c r="AB125" s="4">
        <f>COUNTIFS(   A4:A1440,"2022", C4:C1440,"Química")</f>
        <v>0</v>
      </c>
      <c r="AC125" s="18">
        <f>COUNTIFS(   N4:N1440,"2018", C4:C1440,"Química")</f>
        <v>6</v>
      </c>
      <c r="AD125" s="4">
        <f>COUNTIFS(   N4:N1440,"2019", C4:C1440,"Química")</f>
        <v>12</v>
      </c>
      <c r="AE125" s="4">
        <f>COUNTIFS(   N4:N1440,"2020", C4:C1440,"Química")</f>
        <v>19</v>
      </c>
      <c r="AF125" s="4">
        <f>COUNTIFS(   N4:N1440,"2021", C4:C1440,"Química")</f>
        <v>12</v>
      </c>
      <c r="AG125" s="4">
        <f>COUNTIFS(   N4:N1440,"2022", C4:C1440,"Química")</f>
        <v>7</v>
      </c>
      <c r="AH125" s="4">
        <f>COUNTIFS(   C4:C1440,"Química",G4:G1440,"Sí")</f>
        <v>7</v>
      </c>
      <c r="AI125" s="4">
        <f>COUNTIFS(   C4:C1440,"Química",G4:G1440,"No")</f>
        <v>49</v>
      </c>
      <c r="AJ125" s="4">
        <f>SUMIFS( E4:E1440, C4:C1440,"Química",G4:G1440,"Sí")</f>
        <v>17</v>
      </c>
      <c r="AK125" s="4">
        <f>SUMIFS( E4:E1440, C4:C1440,"Química",G4:G1440,"No")</f>
        <v>385</v>
      </c>
      <c r="AL125" s="4">
        <f>COUNTIFS(   C4:C1440,"Química",H4:H1440,"Sí")</f>
        <v>45</v>
      </c>
      <c r="AM125" s="4">
        <f>COUNTIFS(   C4:C1440,"Química",I4:I1440,"Sí")</f>
        <v>29</v>
      </c>
      <c r="AN125" s="4">
        <f>COUNTIFS(   C4:C1440,"Química",I4:I1440,"No")</f>
        <v>27</v>
      </c>
      <c r="AO125" s="4">
        <f>SUMIFS( E4:E1440, C4:C1440,"Química",I4:I1440,"Sí")</f>
        <v>325</v>
      </c>
      <c r="AP125" s="4">
        <f>SUMIFS( E4:E1440, C4:C1440,"Química",I4:I1440,"No")</f>
        <v>77</v>
      </c>
      <c r="AQ125" s="4">
        <f>COUNTIFS(   C4:C1440,"Química",J4:J1440,"Sí")</f>
        <v>56</v>
      </c>
      <c r="AR125" s="4">
        <f>COUNTIFS(   C4:C1440,"Química",K4:K1440,"Sí")</f>
        <v>16</v>
      </c>
      <c r="AS125" s="4">
        <f>COUNTIFS(   C4:C1440,"Química",L4:L1440,"Sí")</f>
        <v>0</v>
      </c>
      <c r="AT125" s="4">
        <f>SUMIFS( E4:E1440, C4:C1440,"Química")</f>
        <v>402</v>
      </c>
      <c r="AU125" s="4">
        <f>SUMIFS( E4:E1440, F4:F1440,"Hombre", C4:C1440,"Química")</f>
        <v>158</v>
      </c>
      <c r="AV125" s="4">
        <f>SUMIFS( E4:E1440, F4:F1440,"Mujer", C4:C1440,"Química")</f>
        <v>244</v>
      </c>
      <c r="AW125" s="18">
        <f>SUMIFS( E4:E1440, A4:A1440,"2018", C4:C1440,"Química")</f>
        <v>124</v>
      </c>
      <c r="AX125" s="4">
        <f>SUMIFS( E4:E1440, A4:A1440,"2019", C4:C1440,"Química")</f>
        <v>113</v>
      </c>
      <c r="AY125" s="4">
        <f>SUMIFS( E4:E1440, A4:A1440,"2020", C4:C1440,"Química")</f>
        <v>120</v>
      </c>
      <c r="AZ125" s="4">
        <f>SUMIFS( E4:E1440, A4:A1440,"2021", C4:C1440,"Química")</f>
        <v>45</v>
      </c>
      <c r="BA125" s="4">
        <f>SUMIFS( E4:E1440, A4:A1440,"2022", C4:C1440,"Química")</f>
        <v>0</v>
      </c>
      <c r="BB125" s="18">
        <f>SUMIFS( E4:E1440, N4:N1440,"2018", C4:C1440,"Química")</f>
        <v>72</v>
      </c>
      <c r="BC125" s="4">
        <f>SUMIFS( E4:E1440, N4:N1440,"2019", C4:C1440,"Química")</f>
        <v>113</v>
      </c>
      <c r="BD125" s="4">
        <f>SUMIFS( E4:E1440, N4:N1440,"2020", C4:C1440,"Química")</f>
        <v>126</v>
      </c>
      <c r="BE125" s="4">
        <f>SUMIFS( E4:E1440, N4:N1440,"2021", C4:C1440,"Química")</f>
        <v>59</v>
      </c>
      <c r="BF125" s="4">
        <f>SUMIFS( E4:E1440, N4:N1440,"2022", C4:C1440,"Química")</f>
        <v>32</v>
      </c>
      <c r="BG125" s="13">
        <f>AVERAGEIFS( E4:E1440, C4:C1440,"Química")</f>
        <v>9.1363636363636367</v>
      </c>
      <c r="BH125" s="13">
        <v>0</v>
      </c>
      <c r="BI125" s="13">
        <f>AVERAGEIFS( E4:E1440, A4:A1440,"2019", C4:C1440,"Química")</f>
        <v>7.0625</v>
      </c>
      <c r="BJ125" s="13">
        <f>AVERAGEIFS( E4:E1440, A4:A1440,"2020", C4:C1440,"Química")</f>
        <v>10</v>
      </c>
      <c r="BK125" s="13">
        <f>AVERAGEIFS( E4:E1440, A4:A1440,"2021", C4:C1440,"Química")</f>
        <v>5.625</v>
      </c>
      <c r="BL125" s="37" t="e">
        <f>AVERAGEIFS( E4:E1440, A4:A1440,"2022", C4:C1440,"Química")</f>
        <v>#DIV/0!</v>
      </c>
      <c r="BM125" s="13">
        <f>AVERAGE(AT126:AT138)</f>
        <v>37.53846153846154</v>
      </c>
      <c r="BN125" s="13">
        <v>0</v>
      </c>
      <c r="BO125" s="13">
        <f>AVERAGE(AX126:AX138)</f>
        <v>10.461538461538462</v>
      </c>
      <c r="BP125" s="13">
        <f>AVERAGE(AY126:AY138)</f>
        <v>11.23076923076923</v>
      </c>
      <c r="BQ125" s="13">
        <f>AVERAGE(AZ126:AZ138)</f>
        <v>4.384615384615385</v>
      </c>
      <c r="BR125" s="13">
        <f>AVERAGE(BA126:BA138)</f>
        <v>0</v>
      </c>
    </row>
    <row r="126" spans="1:70" ht="15" customHeight="1">
      <c r="A126" s="24">
        <v>2018</v>
      </c>
      <c r="B126" s="24" t="s">
        <v>78</v>
      </c>
      <c r="C126" s="24" t="s">
        <v>683</v>
      </c>
      <c r="D126" s="24" t="s">
        <v>114</v>
      </c>
      <c r="E126" s="23">
        <v>2</v>
      </c>
      <c r="F126" s="24" t="s">
        <v>211</v>
      </c>
      <c r="G126" s="24" t="s">
        <v>225</v>
      </c>
      <c r="H126" s="23" t="s">
        <v>226</v>
      </c>
      <c r="I126" s="24" t="s">
        <v>225</v>
      </c>
      <c r="J126" s="23" t="s">
        <v>226</v>
      </c>
      <c r="K126" s="24" t="s">
        <v>226</v>
      </c>
      <c r="L126" s="23"/>
      <c r="M126" s="26" t="s">
        <v>294</v>
      </c>
      <c r="N126" s="24">
        <v>2019</v>
      </c>
      <c r="O126" s="67" t="s">
        <v>127</v>
      </c>
      <c r="P126" s="68"/>
      <c r="Q126" s="68"/>
      <c r="R126" s="68"/>
      <c r="S126" s="68"/>
      <c r="T126" s="69"/>
      <c r="U126" s="5">
        <f>COUNTIFS(   D4:D1440,"Adsorción y catálisis")</f>
        <v>7</v>
      </c>
      <c r="V126" s="5">
        <f>COUNTIFS(   D4:D1440,"Adsorción y catálisis",F4:F1440,"Hombre")</f>
        <v>3</v>
      </c>
      <c r="W126" s="5">
        <f>COUNTIFS(   D4:D1440,"Adsorción y catálisis",F4:F1440,"Mujer")</f>
        <v>4</v>
      </c>
      <c r="X126" s="19">
        <f>COUNTIFS(   A4:A1440,"2018", D4:D1440,"Adsorción y catálisis")</f>
        <v>3</v>
      </c>
      <c r="Y126" s="5">
        <f>COUNTIFS(   A4:A1440,"2019", D4:D1440,"Adsorción y catálisis")</f>
        <v>3</v>
      </c>
      <c r="Z126" s="5">
        <f>COUNTIFS(   A4:A1440,"2020", D4:D1440,"Adsorción y catálisis")</f>
        <v>0</v>
      </c>
      <c r="AA126" s="5">
        <f>COUNTIFS(   A4:A1440,"2021", D4:D1440,"Adsorción y catálisis")</f>
        <v>1</v>
      </c>
      <c r="AB126" s="5">
        <f>COUNTIFS(  A4:A1440,"2022", D4:D1440,"Adsorción y catálisis")</f>
        <v>0</v>
      </c>
      <c r="AC126" s="19">
        <f>COUNTIFS(   N4:N1440,"2018", D4:D1440,"Adsorción y catálisis")</f>
        <v>2</v>
      </c>
      <c r="AD126" s="5">
        <f>COUNTIFS(   N4:N1440,"2019", D4:D1440,"Adsorción y catálisis")</f>
        <v>3</v>
      </c>
      <c r="AE126" s="5">
        <f>COUNTIFS(   N4:N1440,"2020", D4:D1440,"Adsorción y catálisis")</f>
        <v>1</v>
      </c>
      <c r="AF126" s="5">
        <f>COUNTIFS(   N4:N1440,"2021", D4:D1440,"Adsorción y catálisis")</f>
        <v>0</v>
      </c>
      <c r="AG126" s="5">
        <f>COUNTIFS(   N4:N1440,"2022", D4:D1440,"Adsorción y catálisis")</f>
        <v>1</v>
      </c>
      <c r="AH126" s="5">
        <f>COUNTIFS(   D4:D1440,"Adsorción y catálisis",G4:G1440,"Sí")</f>
        <v>4</v>
      </c>
      <c r="AI126" s="5">
        <f>COUNTIFS(   D4:D1440,"Adsorción y catálisis",G4:G1440,"No")</f>
        <v>3</v>
      </c>
      <c r="AJ126" s="5">
        <f>SUMIFS( E4:E1440, D4:D1440,"Adsorción y catálisis",G4:G1440,"Sí")</f>
        <v>12</v>
      </c>
      <c r="AK126" s="5">
        <f>SUMIFS( E4:E1440, D4:D1440,"Adsorción y catálisis",G4:G1440,"No")</f>
        <v>26</v>
      </c>
      <c r="AL126" s="5">
        <f>COUNTIFS(   D4:D1440,"Adsorción y catálisis",H4:H1440,"Sí")</f>
        <v>6</v>
      </c>
      <c r="AM126" s="5">
        <f>COUNTIFS(   D4:D1440,"Adsorción y catálisis",I4:I1440,"Sí")</f>
        <v>4</v>
      </c>
      <c r="AN126" s="5">
        <f>COUNTIFS(   D4:D1440,"Adsorción y catálisis",I4:I1440,"No")</f>
        <v>3</v>
      </c>
      <c r="AO126" s="5">
        <f>SUMIFS( E4:E1440, D4:D1440,"Adsorción y catálisis",I4:I1440,"Sí")</f>
        <v>29</v>
      </c>
      <c r="AP126" s="5">
        <f>SUMIFS( E4:E1440, D4:D1440,"Adsorción y catálisis",I4:I1440,"No")</f>
        <v>9</v>
      </c>
      <c r="AQ126" s="5">
        <f>COUNTIFS(   D4:D1440,"Adsorción y catálisis",J4:J1440,"Sí")</f>
        <v>7</v>
      </c>
      <c r="AR126" s="5">
        <f>COUNTIFS(   D4:D1440,"Adsorción y catálisis",K4:K1440,"Sí")</f>
        <v>3</v>
      </c>
      <c r="AS126" s="5">
        <f>COUNTIFS(   D4:D1440,"Adsorción y catálisis",L4:L1440,"Sí")</f>
        <v>0</v>
      </c>
      <c r="AT126" s="5">
        <f>SUMIFS( E4:E1440, D4:D1440,"Adsorción y catálisis")</f>
        <v>38</v>
      </c>
      <c r="AU126" s="5">
        <f>SUMIFS( E4:E1440, F4:F1440,"Hombre", D4:D1440,"Adsorción y catálisis")</f>
        <v>19</v>
      </c>
      <c r="AV126" s="5">
        <f>SUMIFS( E4:E1440, F4:F1440,"Mujer", D4:D1440,"Adsorción y catálisis")</f>
        <v>19</v>
      </c>
      <c r="AW126" s="19">
        <f>SUMIFS( E4:E1440, A4:A1440,"2018", D4:D1440,"Adsorción y catálisis")</f>
        <v>26</v>
      </c>
      <c r="AX126" s="5">
        <f>SUMIFS( E4:E1440, A4:A1440,"2019", D4:D1440,"Adsorción y catálisis")</f>
        <v>3</v>
      </c>
      <c r="AY126" s="5">
        <f>SUMIFS( E4:E1440, A4:A1440,"2020", D4:D1440,"Adsorción y catálisis")</f>
        <v>0</v>
      </c>
      <c r="AZ126" s="5">
        <f>SUMIFS( E4:E1440, A4:A1440,"2021", D4:D1440,"Adsorción y catálisis")</f>
        <v>9</v>
      </c>
      <c r="BA126" s="5">
        <f>SUMIFS( E4:E1440, A4:A1440,"2022", D4:D1440,"Adsorción y catálisis")</f>
        <v>0</v>
      </c>
      <c r="BB126" s="19">
        <f>SUMIFS( E4:E1440, N4:N1440,"2018", D4:D1440,"Adsorción y catálisis")</f>
        <v>10</v>
      </c>
      <c r="BC126" s="5">
        <f>SUMIFS( E4:E1440, N4:N1440,"2019", D4:D1440,"Adsorción y catálisis")</f>
        <v>17</v>
      </c>
      <c r="BD126" s="5">
        <f>SUMIFS( E4:E1440, N4:N1440,"2020", D4:D1440,"Adsorción y catálisis")</f>
        <v>2</v>
      </c>
      <c r="BE126" s="5">
        <f>SUMIFS( E4:E1440, N4:N1440,"2021", D4:D1440,"Adsorción y catálisis")</f>
        <v>0</v>
      </c>
      <c r="BF126" s="5">
        <f>SUMIFS( E4:E1440, N4:N1440,"2022", D4:D1440,"Adsorción y catálisis")</f>
        <v>9</v>
      </c>
      <c r="BG126" s="14">
        <f>AVERAGEIFS( E4:E1440, D4:D1440,"Adsorción y catálisis")</f>
        <v>7.6</v>
      </c>
      <c r="BH126" s="14">
        <v>0</v>
      </c>
      <c r="BI126" s="14">
        <v>0</v>
      </c>
      <c r="BJ126" s="14">
        <v>0</v>
      </c>
      <c r="BK126" s="14">
        <v>0</v>
      </c>
      <c r="BL126" s="37" t="e">
        <f>AVERAGEIFS( E4:E1440, A4:A1440,"2022", D4:D1440,"Adsorción y catálisis")</f>
        <v>#DIV/0!</v>
      </c>
      <c r="BM126" s="14">
        <v>4.5</v>
      </c>
      <c r="BN126" s="14">
        <v>0</v>
      </c>
      <c r="BO126" s="14">
        <v>0</v>
      </c>
      <c r="BP126" s="14">
        <v>0</v>
      </c>
      <c r="BQ126" s="14">
        <v>0</v>
      </c>
      <c r="BR126" s="14">
        <v>4.5</v>
      </c>
    </row>
    <row r="127" spans="1:70" ht="15" customHeight="1">
      <c r="A127" s="24">
        <v>2018</v>
      </c>
      <c r="B127" s="24" t="s">
        <v>136</v>
      </c>
      <c r="C127" s="24" t="s">
        <v>176</v>
      </c>
      <c r="D127" s="24" t="s">
        <v>182</v>
      </c>
      <c r="E127" s="23"/>
      <c r="F127" s="24" t="s">
        <v>207</v>
      </c>
      <c r="G127" s="24" t="s">
        <v>225</v>
      </c>
      <c r="H127" s="23" t="s">
        <v>225</v>
      </c>
      <c r="I127" s="24" t="s">
        <v>225</v>
      </c>
      <c r="J127" s="23" t="s">
        <v>226</v>
      </c>
      <c r="K127" s="24" t="s">
        <v>226</v>
      </c>
      <c r="L127" s="23"/>
      <c r="M127" s="26" t="s">
        <v>294</v>
      </c>
      <c r="N127" s="24">
        <v>2019</v>
      </c>
      <c r="O127" s="67" t="s">
        <v>125</v>
      </c>
      <c r="P127" s="68"/>
      <c r="Q127" s="68"/>
      <c r="R127" s="68"/>
      <c r="S127" s="68"/>
      <c r="T127" s="69"/>
      <c r="U127" s="5">
        <f>COUNTIFS(   D4:D1440,"Bioprocesos")</f>
        <v>9</v>
      </c>
      <c r="V127" s="5">
        <f>COUNTIFS(   D4:D1440,"Bioprocesos",F4:F1440,"Hombre")</f>
        <v>6</v>
      </c>
      <c r="W127" s="5">
        <f>COUNTIFS(   D4:D1440,"Bioprocesos",F4:F1440,"Mujer")</f>
        <v>3</v>
      </c>
      <c r="X127" s="19">
        <f>COUNTIFS(   A4:A1440,"2018", D4:D1440,"Bioprocesos")</f>
        <v>0</v>
      </c>
      <c r="Y127" s="5">
        <f>COUNTIFS(   A4:A1440,"2019", D4:D1440,"Bioprocesos")</f>
        <v>1</v>
      </c>
      <c r="Z127" s="5">
        <f>COUNTIFS(   A4:A1440,"2020", D4:D1440,"Bioprocesos")</f>
        <v>6</v>
      </c>
      <c r="AA127" s="5">
        <f>COUNTIFS(   A4:A1440,"2021", D4:D1440,"Bioprocesos")</f>
        <v>2</v>
      </c>
      <c r="AB127" s="5">
        <f>COUNTIFS(  A4:A1440,"2022", D4:D1440,"Bioprocesos")</f>
        <v>0</v>
      </c>
      <c r="AC127" s="19">
        <f>COUNTIFS(   N4:N1440,"2018", D4:D1440,"Bioprocesos")</f>
        <v>0</v>
      </c>
      <c r="AD127" s="5">
        <f>COUNTIFS(   N4:N1440,"2019", D4:D1440,"Bioprocesos")</f>
        <v>0</v>
      </c>
      <c r="AE127" s="5">
        <f>COUNTIFS(   N4:N1440,"2020", D4:D1440,"Bioprocesos")</f>
        <v>2</v>
      </c>
      <c r="AF127" s="5">
        <f>COUNTIFS(   N4:N1440,"2021", D4:D1440,"Bioprocesos")</f>
        <v>6</v>
      </c>
      <c r="AG127" s="5">
        <f>COUNTIFS(   N4:N1440,"2022", D4:D1440,"Bioprocesos")</f>
        <v>1</v>
      </c>
      <c r="AH127" s="5">
        <f>COUNTIFS(   D4:D1440,"Bioprocesos",G4:G1440,"Sí")</f>
        <v>1</v>
      </c>
      <c r="AI127" s="5">
        <f>COUNTIFS(   D4:D1440,"Bioprocesos",G4:G1440,"No")</f>
        <v>8</v>
      </c>
      <c r="AJ127" s="5">
        <f>SUMIFS( E4:E1440, D4:D1440,"Bioprocesos",G4:G1440,"Sí")</f>
        <v>1</v>
      </c>
      <c r="AK127" s="5">
        <f>SUMIFS( E4:E1440, D4:D1440,"Bioprocesos",G4:G1440,"No")</f>
        <v>32</v>
      </c>
      <c r="AL127" s="5">
        <f>COUNTIFS(   D4:D1440,"Bioprocesos",H4:H1440,"Sí")</f>
        <v>7</v>
      </c>
      <c r="AM127" s="5">
        <f>COUNTIFS(   D4:D1440,"Bioprocesos",I4:I1440,"Sí")</f>
        <v>1</v>
      </c>
      <c r="AN127" s="5">
        <f>COUNTIFS(   D4:D1440,"Bioprocesos",I4:I1440,"No")</f>
        <v>8</v>
      </c>
      <c r="AO127" s="5">
        <f>SUMIFS( E4:E1440, D4:D1440,"Bioprocesos",I4:I1440,"Sí")</f>
        <v>2</v>
      </c>
      <c r="AP127" s="5">
        <f>SUMIFS( E4:E1440, D4:D1440,"Bioprocesos",I4:I1440,"No")</f>
        <v>31</v>
      </c>
      <c r="AQ127" s="5">
        <f>COUNTIFS(   D4:D1440,"Bioprocesos",J4:J1440,"Sí")</f>
        <v>9</v>
      </c>
      <c r="AR127" s="5">
        <f>COUNTIFS(   D4:D1440,"Bioprocesos",K4:K1440,"Sí")</f>
        <v>0</v>
      </c>
      <c r="AS127" s="5">
        <f>COUNTIFS(   D4:D1440,"Bioprocesos",L4:L1440,"Sí")</f>
        <v>0</v>
      </c>
      <c r="AT127" s="5">
        <f>SUMIFS( E4:E1440, D4:D1440,"Bioprocesos")</f>
        <v>33</v>
      </c>
      <c r="AU127" s="5">
        <f>SUMIFS( E4:E1440, F4:F1440,"Hombre", D4:D1440,"Bioprocesos")</f>
        <v>17</v>
      </c>
      <c r="AV127" s="5">
        <f>SUMIFS( E4:E1440, F4:F1440,"Mujer", D4:D1440,"Bioprocesos")</f>
        <v>16</v>
      </c>
      <c r="AW127" s="19">
        <f>SUMIFS( E4:E1440, A4:A1440,"2018", D4:D1440,"Bioprocesos")</f>
        <v>0</v>
      </c>
      <c r="AX127" s="5">
        <f>SUMIFS( E4:E1440, A4:A1440,"2019", D4:D1440,"Bioprocesos")</f>
        <v>1</v>
      </c>
      <c r="AY127" s="5">
        <f>SUMIFS( E4:E1440, A4:A1440,"2020", D4:D1440,"Bioprocesos")</f>
        <v>30</v>
      </c>
      <c r="AZ127" s="5">
        <f>SUMIFS( E4:E1440, A4:A1440,"2021", D4:D1440,"Bioprocesos")</f>
        <v>2</v>
      </c>
      <c r="BA127" s="5">
        <f>SUMIFS( E4:E1440, A4:A1440,"2022", D4:D1440,"Bioprocesos")</f>
        <v>0</v>
      </c>
      <c r="BB127" s="19">
        <f>SUMIFS( E4:E1440, N4:N1440,"2018", D4:D1440,"Bioprocesos")</f>
        <v>0</v>
      </c>
      <c r="BC127" s="5">
        <f>SUMIFS( E4:E1440, N4:N1440,"2019", D4:D1440,"Bioprocesos")</f>
        <v>0</v>
      </c>
      <c r="BD127" s="5">
        <f>SUMIFS( E4:E1440, N4:N1440,"2020", D4:D1440,"Bioprocesos")</f>
        <v>1</v>
      </c>
      <c r="BE127" s="5">
        <f>SUMIFS( E4:E1440, N4:N1440,"2021", D4:D1440,"Bioprocesos")</f>
        <v>30</v>
      </c>
      <c r="BF127" s="5">
        <f>SUMIFS( E4:E1440, N4:N1440,"2022", D4:D1440,"Bioprocesos")</f>
        <v>2</v>
      </c>
      <c r="BG127" s="14">
        <f>AVERAGEIFS( E4:E1440, D4:D1440,"Bioprocesos")</f>
        <v>4.7142857142857144</v>
      </c>
      <c r="BH127" s="14">
        <v>0</v>
      </c>
      <c r="BI127" s="14">
        <v>0</v>
      </c>
      <c r="BJ127" s="14">
        <v>0</v>
      </c>
      <c r="BK127" s="14">
        <v>0</v>
      </c>
      <c r="BL127" s="37" t="e">
        <f>AVERAGEIFS( E4:E1440, A4:A1440,"2022", D4:D1440,"Bioprocesos")</f>
        <v>#DIV/0!</v>
      </c>
      <c r="BM127" s="14">
        <v>1</v>
      </c>
      <c r="BN127" s="14">
        <v>0</v>
      </c>
      <c r="BO127" s="14">
        <v>0</v>
      </c>
      <c r="BP127" s="14">
        <v>0</v>
      </c>
      <c r="BQ127" s="14">
        <v>0</v>
      </c>
      <c r="BR127" s="14">
        <v>1</v>
      </c>
    </row>
    <row r="128" spans="1:70" ht="15" customHeight="1">
      <c r="A128" s="24">
        <v>2018</v>
      </c>
      <c r="B128" s="24" t="s">
        <v>4</v>
      </c>
      <c r="C128" s="24" t="s">
        <v>23</v>
      </c>
      <c r="D128" s="24" t="s">
        <v>25</v>
      </c>
      <c r="E128" s="23">
        <v>1</v>
      </c>
      <c r="F128" s="24" t="s">
        <v>207</v>
      </c>
      <c r="G128" s="24" t="s">
        <v>225</v>
      </c>
      <c r="H128" s="23" t="s">
        <v>226</v>
      </c>
      <c r="I128" s="24" t="s">
        <v>225</v>
      </c>
      <c r="J128" s="23" t="s">
        <v>226</v>
      </c>
      <c r="K128" s="24" t="s">
        <v>226</v>
      </c>
      <c r="L128" s="23"/>
      <c r="M128" s="26" t="s">
        <v>295</v>
      </c>
      <c r="N128" s="24">
        <v>2019</v>
      </c>
      <c r="O128" s="51" t="s">
        <v>16</v>
      </c>
      <c r="P128" s="52"/>
      <c r="Q128" s="52"/>
      <c r="R128" s="52"/>
      <c r="S128" s="52"/>
      <c r="T128" s="53"/>
      <c r="U128" s="5">
        <f>COUNTIFS(   D4:D1440,"Biología Molecular de protozoos parásitos")</f>
        <v>5</v>
      </c>
      <c r="V128" s="5">
        <f>COUNTIFS(   D4:D1440,"Biología Molecular de protozoos parásitos",F4:F1440,"Hombre")</f>
        <v>0</v>
      </c>
      <c r="W128" s="5">
        <f>COUNTIFS(   D4:D1440,"Biología Molecular de protozoos parásitos",F4:F1440,"Mujer")</f>
        <v>5</v>
      </c>
      <c r="X128" s="19">
        <f>COUNTIFS(   A4:A1440,"2018", D4:D1440,"Biología Molecular de protozoos parásitos")</f>
        <v>1</v>
      </c>
      <c r="Y128" s="5">
        <f>COUNTIFS(   A4:A1440,"2019", D4:D1440,"Biología Molecular de protozoos parásitos")</f>
        <v>2</v>
      </c>
      <c r="Z128" s="5">
        <f>COUNTIFS(   A4:A1440,"2020", D4:D1440,"Biología Molecular de protozoos parásitos")</f>
        <v>0</v>
      </c>
      <c r="AA128" s="5">
        <f>COUNTIFS(   A4:A1440,"2021", D4:D1440,"Biología Molecular de protozoos parásitos")</f>
        <v>2</v>
      </c>
      <c r="AB128" s="5">
        <f>COUNTIFS(  A4:A1440,"2022", D4:D1440,"Biología Molecular de protozoos parásitos")</f>
        <v>0</v>
      </c>
      <c r="AC128" s="19">
        <f>COUNTIFS(   N4:N1440,"2018", D4:D1440,"Biología Molecular de protozoos parásitos")</f>
        <v>0</v>
      </c>
      <c r="AD128" s="5">
        <f>COUNTIFS(   N4:N1440,"2019", D4:D1440,"Biología Molecular de protozoos parásitos")</f>
        <v>2</v>
      </c>
      <c r="AE128" s="5">
        <f>COUNTIFS(   N4:N1440,"2020", D4:D1440,"Biología Molecular de protozoos parásitos")</f>
        <v>1</v>
      </c>
      <c r="AF128" s="5">
        <f>COUNTIFS(   N4:N1440,"2021", D4:D1440,"Biología Molecular de protozoos parásitos")</f>
        <v>1</v>
      </c>
      <c r="AG128" s="5">
        <f>COUNTIFS(   N4:N1440,"2022", D4:D1440,"Biología Molecular de protozoos parásitos")</f>
        <v>1</v>
      </c>
      <c r="AH128" s="5">
        <f>COUNTIFS(   D4:D1440,"Biología Molecular de protozoos parásitos",G4:G1440,"Sí")</f>
        <v>0</v>
      </c>
      <c r="AI128" s="5">
        <f>COUNTIFS(   D4:D1440,"Biología Molecular de protozoos parásitos",G4:G1440,"No")</f>
        <v>5</v>
      </c>
      <c r="AJ128" s="5">
        <f>SUMIFS( E4:E1440, D4:D1440,"Biología Molecular de protozoos parásitos",G4:G1440,"Sí")</f>
        <v>0</v>
      </c>
      <c r="AK128" s="5">
        <f>SUMIFS( E4:E1440, D4:D1440,"Biología Molecular de protozoos parásitos",G4:G1440,"No")</f>
        <v>9</v>
      </c>
      <c r="AL128" s="5">
        <f>COUNTIFS(   D4:D1440,"Biología Molecular de protozoos parásitos",H4:H1440,"Sí")</f>
        <v>3</v>
      </c>
      <c r="AM128" s="5">
        <f>COUNTIFS(   D4:D1440,"Biología Molecular de protozoos parásitos",I4:I1440,"Sí")</f>
        <v>1</v>
      </c>
      <c r="AN128" s="5">
        <f>COUNTIFS(   D4:D1440,"Biología Molecular de protozoos parásitos",I4:I1440,"No")</f>
        <v>4</v>
      </c>
      <c r="AO128" s="5">
        <f>SUMIFS( E4:E1440, D4:D1440,"Biología Molecular de protozoos parásitos",I4:I1440,"Sí")</f>
        <v>5</v>
      </c>
      <c r="AP128" s="5">
        <f>SUMIFS( E4:E1440, D4:D1440,"Biología Molecular de protozoos parásitos",I4:I1440,"No")</f>
        <v>4</v>
      </c>
      <c r="AQ128" s="5">
        <f>COUNTIFS(   D4:D1440,"Biología Molecular de protozoos parásitos",J4:J1440,"Sí")</f>
        <v>5</v>
      </c>
      <c r="AR128" s="5">
        <f>COUNTIFS(   D4:D1440,"Biología Molecular de protozoos parásitos",K4:K1440,"Sí")</f>
        <v>3</v>
      </c>
      <c r="AS128" s="5">
        <f>COUNTIFS(   D4:D1440,"Biología Molecular de protozoos parásitos",L4:L1440,"Sí")</f>
        <v>0</v>
      </c>
      <c r="AT128" s="5">
        <f>SUMIFS( E4:E1440, D4:D1440,"Biología Molecular de protozoos parásitos")</f>
        <v>9</v>
      </c>
      <c r="AU128" s="5">
        <f>SUMIFS( E4:E1440, F4:F1440,"Hombre", D4:D1440,"Biología Molecular de protozoos parásitos")</f>
        <v>0</v>
      </c>
      <c r="AV128" s="5">
        <f>SUMIFS( E4:E1440, F4:F1440,"Mujer", D4:D1440,"Biología Molecular de protozoos parásitos")</f>
        <v>9</v>
      </c>
      <c r="AW128" s="19">
        <f>SUMIFS( E4:E1440, A4:A1440,"2018", D4:D1440,"Biología Molecular de protozoos parásitos")</f>
        <v>0</v>
      </c>
      <c r="AX128" s="5">
        <f>SUMIFS( E4:E1440, A4:A1440,"2019", D4:D1440,"Biología Molecular de protozoos parásitos")</f>
        <v>8</v>
      </c>
      <c r="AY128" s="5">
        <f>SUMIFS( E4:E1440, A4:A1440,"2020", D4:D1440,"Biología Molecular de protozoos parásitos")</f>
        <v>0</v>
      </c>
      <c r="AZ128" s="5">
        <f>SUMIFS( E4:E1440, A4:A1440,"2021", D4:D1440,"Biología Molecular de protozoos parásitos")</f>
        <v>1</v>
      </c>
      <c r="BA128" s="5">
        <f>SUMIFS( E4:E1440, A4:A1440,"2022", D4:D1440,"Biología Molecular de protozoos parásitos")</f>
        <v>0</v>
      </c>
      <c r="BB128" s="19">
        <f>SUMIFS( E4:E1440, N4:N1440,"2018", D4:D1440,"Biología Molecular de protozoos parásitos")</f>
        <v>0</v>
      </c>
      <c r="BC128" s="5">
        <f>SUMIFS( E4:E1440, N4:N1440,"2019", D4:D1440,"Biología Molecular de protozoos parásitos")</f>
        <v>3</v>
      </c>
      <c r="BD128" s="5">
        <f>SUMIFS( E4:E1440, N4:N1440,"2020", D4:D1440,"Biología Molecular de protozoos parásitos")</f>
        <v>5</v>
      </c>
      <c r="BE128" s="5">
        <f>SUMIFS( E4:E1440, N4:N1440,"2021", D4:D1440,"Biología Molecular de protozoos parásitos")</f>
        <v>1</v>
      </c>
      <c r="BF128" s="5">
        <f>SUMIFS( E4:E1440, N4:N1440,"2022", D4:D1440,"Biología Molecular de protozoos parásitos")</f>
        <v>0</v>
      </c>
      <c r="BG128" s="14">
        <f>AVERAGEIFS( E4:E1440, D4:D1440,"Biología Molecular de protozoos parásitos")</f>
        <v>3</v>
      </c>
      <c r="BH128" s="14"/>
      <c r="BI128" s="14"/>
      <c r="BJ128" s="14"/>
      <c r="BK128" s="14"/>
      <c r="BL128" s="37"/>
      <c r="BM128" s="14"/>
      <c r="BN128" s="14"/>
      <c r="BO128" s="14"/>
      <c r="BP128" s="14"/>
      <c r="BQ128" s="14"/>
      <c r="BR128" s="14"/>
    </row>
    <row r="129" spans="1:70" ht="15" customHeight="1">
      <c r="A129" s="24">
        <v>2018</v>
      </c>
      <c r="B129" s="24" t="s">
        <v>4</v>
      </c>
      <c r="C129" s="24" t="s">
        <v>18</v>
      </c>
      <c r="D129" s="24" t="s">
        <v>21</v>
      </c>
      <c r="E129" s="23">
        <v>23</v>
      </c>
      <c r="F129" s="24" t="s">
        <v>207</v>
      </c>
      <c r="G129" s="24" t="s">
        <v>225</v>
      </c>
      <c r="H129" s="23" t="s">
        <v>226</v>
      </c>
      <c r="I129" s="24" t="s">
        <v>225</v>
      </c>
      <c r="J129" s="23" t="s">
        <v>226</v>
      </c>
      <c r="K129" s="24" t="s">
        <v>226</v>
      </c>
      <c r="L129" s="23"/>
      <c r="M129" s="26" t="s">
        <v>295</v>
      </c>
      <c r="N129" s="24">
        <v>2019</v>
      </c>
      <c r="O129" s="51" t="s">
        <v>368</v>
      </c>
      <c r="P129" s="52"/>
      <c r="Q129" s="52"/>
      <c r="R129" s="52"/>
      <c r="S129" s="52"/>
      <c r="T129" s="53"/>
      <c r="U129" s="5">
        <f>COUNTIFS(   D4:D1440,"Síntesis Orgánica")</f>
        <v>12</v>
      </c>
      <c r="V129" s="5">
        <f>COUNTIFS(   D4:D1440,"Síntesis Orgánica",F4:F1440,"Hombre")</f>
        <v>6</v>
      </c>
      <c r="W129" s="5">
        <f>COUNTIFS(   D4:D1440,"Síntesis Orgánica",F4:F1440,"Mujer")</f>
        <v>6</v>
      </c>
      <c r="X129" s="19">
        <f>COUNTIFS(   A4:A1440,"2018", D4:D1440,"Síntesis Orgánica")</f>
        <v>1</v>
      </c>
      <c r="Y129" s="5">
        <f>COUNTIFS(   A4:A1440,"2019", D4:D1440,"Síntesis Orgánica")</f>
        <v>5</v>
      </c>
      <c r="Z129" s="5">
        <f>COUNTIFS(   A4:A1440,"2020", D4:D1440,"Síntesis Orgánica")</f>
        <v>4</v>
      </c>
      <c r="AA129" s="5">
        <f>COUNTIFS(   A4:A1440,"2021", D4:D1440,"Síntesis Orgánica")</f>
        <v>2</v>
      </c>
      <c r="AB129" s="5">
        <f>COUNTIFS(  A4:A1440,"2022", D4:D1440,"Síntesis Orgánica")</f>
        <v>0</v>
      </c>
      <c r="AC129" s="19">
        <f>COUNTIFS(   N4:N1440,"2018", D4:D1440,"Síntesis Orgánica")</f>
        <v>0</v>
      </c>
      <c r="AD129" s="5">
        <f>COUNTIFS(   N4:N1440,"2019", D4:D1440,"Síntesis Orgánica")</f>
        <v>4</v>
      </c>
      <c r="AE129" s="5">
        <f>COUNTIFS(   N4:N1440,"2020", D4:D1440,"Síntesis Orgánica")</f>
        <v>5</v>
      </c>
      <c r="AF129" s="5">
        <f>COUNTIFS(   N4:N1440,"2021", D4:D1440,"Síntesis Orgánica")</f>
        <v>1</v>
      </c>
      <c r="AG129" s="5">
        <f>COUNTIFS(   N4:N1440,"2022", D4:D1440,"Síntesis Orgánica")</f>
        <v>2</v>
      </c>
      <c r="AH129" s="5">
        <f>COUNTIFS(   D4:D1440,"Síntesis Orgánica",G4:G1440,"Sí")</f>
        <v>0</v>
      </c>
      <c r="AI129" s="5">
        <f>COUNTIFS(   D4:D1440,"Síntesis Orgánica",G4:G1440,"No")</f>
        <v>12</v>
      </c>
      <c r="AJ129" s="5">
        <f>SUMIFS( E4:E1440, D4:D1440,"Síntesis Orgánica",G4:G1440,"Sí")</f>
        <v>0</v>
      </c>
      <c r="AK129" s="5">
        <f>SUMIFS( E4:E1440, D4:D1440,"Síntesis Orgánica",G4:G1440,"No")</f>
        <v>73</v>
      </c>
      <c r="AL129" s="5">
        <f>COUNTIFS(   D4:D1440,"Síntesis Orgánica",H4:H1440,"Sí")</f>
        <v>9</v>
      </c>
      <c r="AM129" s="5">
        <f>COUNTIFS(   D4:D1440,"Síntesis Orgánica",I4:I1440,"Sí")</f>
        <v>10</v>
      </c>
      <c r="AN129" s="5">
        <f>COUNTIFS(   D4:D1440,"Síntesis Orgánica",I4:I1440,"No")</f>
        <v>2</v>
      </c>
      <c r="AO129" s="5">
        <f>SUMIFS( E4:E1440, D4:D1440,"Síntesis Orgánica",I4:I1440,"Sí")</f>
        <v>69</v>
      </c>
      <c r="AP129" s="5">
        <f>SUMIFS( E4:E1440, D4:D1440,"Síntesis Orgánica",I4:I1440,"No")</f>
        <v>4</v>
      </c>
      <c r="AQ129" s="5">
        <f>COUNTIFS(   D4:D1440,"Síntesis Orgánica",J4:J1440,"Sí")</f>
        <v>12</v>
      </c>
      <c r="AR129" s="5">
        <f>COUNTIFS(   D4:D1440,"Síntesis Orgánica",K4:K1440,"Sí")</f>
        <v>5</v>
      </c>
      <c r="AS129" s="5">
        <f>COUNTIFS(   D4:D1440,"Síntesis Orgánica",L4:L1440,"Sí")</f>
        <v>0</v>
      </c>
      <c r="AT129" s="5">
        <f>SUMIFS( E4:E1440, D4:D1440,"Síntesis Orgánica")</f>
        <v>73</v>
      </c>
      <c r="AU129" s="5">
        <f>SUMIFS( E4:E1440, F4:F1440,"Hombre", D4:D1440,"Síntesis Orgánica")</f>
        <v>40</v>
      </c>
      <c r="AV129" s="5">
        <f>SUMIFS( E4:E1440, F4:F1440,"Mujer", D4:D1440,"Síntesis Orgánica")</f>
        <v>33</v>
      </c>
      <c r="AW129" s="19">
        <f>SUMIFS( E4:E1440, A4:A1440,"2018", D4:D1440,"Síntesis Orgánica")</f>
        <v>18</v>
      </c>
      <c r="AX129" s="5">
        <f>SUMIFS( E4:E1440, A4:A1440,"2019", D4:D1440,"Síntesis Orgánica")</f>
        <v>19</v>
      </c>
      <c r="AY129" s="5">
        <f>SUMIFS( E4:E1440, A4:A1440,"2020", D4:D1440,"Síntesis Orgánica")</f>
        <v>27</v>
      </c>
      <c r="AZ129" s="5">
        <f>SUMIFS( E4:E1440, A4:A1440,"2021", D4:D1440,"Síntesis Orgánica")</f>
        <v>9</v>
      </c>
      <c r="BA129" s="5">
        <f>SUMIFS( E4:E1440, A4:A1440,"2022", D4:D1440,"Síntesis Orgánica")</f>
        <v>0</v>
      </c>
      <c r="BB129" s="19">
        <f>SUMIFS( E4:E1440, N4:N1440,"2018", D4:D1440,"Síntesis Orgánica")</f>
        <v>0</v>
      </c>
      <c r="BC129" s="5">
        <f>SUMIFS( E4:E1440, N4:N1440,"2019", D4:D1440,"Síntesis Orgánica")</f>
        <v>36</v>
      </c>
      <c r="BD129" s="5">
        <f>SUMIFS( E4:E1440, N4:N1440,"2020", D4:D1440,"Síntesis Orgánica")</f>
        <v>23</v>
      </c>
      <c r="BE129" s="5">
        <f>SUMIFS( E4:E1440, N4:N1440,"2021", D4:D1440,"Síntesis Orgánica")</f>
        <v>5</v>
      </c>
      <c r="BF129" s="5">
        <f>SUMIFS( E4:E1440, N4:N1440,"2022", D4:D1440,"Síntesis Orgánica")</f>
        <v>9</v>
      </c>
      <c r="BG129" s="14">
        <f>AVERAGEIFS( E4:E1440, D4:D1440,"Síntesis Orgánica")</f>
        <v>8.1111111111111107</v>
      </c>
      <c r="BH129" s="14"/>
      <c r="BI129" s="14"/>
      <c r="BJ129" s="14"/>
      <c r="BK129" s="14"/>
      <c r="BL129" s="37"/>
      <c r="BM129" s="14"/>
      <c r="BN129" s="14"/>
      <c r="BO129" s="14"/>
      <c r="BP129" s="14"/>
      <c r="BQ129" s="14"/>
      <c r="BR129" s="14"/>
    </row>
    <row r="130" spans="1:70" ht="15" customHeight="1">
      <c r="A130" s="24">
        <v>2018</v>
      </c>
      <c r="B130" s="24" t="s">
        <v>4</v>
      </c>
      <c r="C130" s="24" t="s">
        <v>31</v>
      </c>
      <c r="D130" s="24" t="s">
        <v>33</v>
      </c>
      <c r="E130" s="23"/>
      <c r="F130" s="24" t="s">
        <v>211</v>
      </c>
      <c r="G130" s="24" t="s">
        <v>225</v>
      </c>
      <c r="H130" s="23" t="s">
        <v>225</v>
      </c>
      <c r="I130" s="24" t="s">
        <v>225</v>
      </c>
      <c r="J130" s="23" t="s">
        <v>226</v>
      </c>
      <c r="K130" s="24" t="s">
        <v>226</v>
      </c>
      <c r="L130" s="23"/>
      <c r="M130" s="26" t="s">
        <v>295</v>
      </c>
      <c r="N130" s="24">
        <v>2019</v>
      </c>
      <c r="O130" s="51" t="s">
        <v>427</v>
      </c>
      <c r="P130" s="52"/>
      <c r="Q130" s="52"/>
      <c r="R130" s="52"/>
      <c r="S130" s="52"/>
      <c r="T130" s="53"/>
      <c r="U130" s="5">
        <f>COUNTIFS(   D4:D1440,"Depuración de efluentes")</f>
        <v>2</v>
      </c>
      <c r="V130" s="5">
        <f>COUNTIFS(   D4:D1440,"Depuración de efluentes",F4:F1440,"Hombre")</f>
        <v>1</v>
      </c>
      <c r="W130" s="5">
        <f>COUNTIFS(   D4:D1440,"Depuración de efluentes",F4:F1440,"Mujer")</f>
        <v>1</v>
      </c>
      <c r="X130" s="19">
        <f>COUNTIFS(   A4:A1440,"2018", D4:D1440,"Depuración de efluentes")</f>
        <v>0</v>
      </c>
      <c r="Y130" s="5">
        <f>COUNTIFS(   A4:A1440,"2019", D4:D1440,"Depuración de efluentes")</f>
        <v>1</v>
      </c>
      <c r="Z130" s="5">
        <f>COUNTIFS(   A4:A1440,"2020", D4:D1440,"Depuración de efluentes")</f>
        <v>1</v>
      </c>
      <c r="AA130" s="5">
        <f>COUNTIFS(   A4:A1440,"2021", D4:D1440,"Depuración de efluentes")</f>
        <v>0</v>
      </c>
      <c r="AB130" s="5">
        <f>COUNTIFS(  A4:A1440,"2022", D4:D1440,"Depuración de efluentes")</f>
        <v>0</v>
      </c>
      <c r="AC130" s="19">
        <f>COUNTIFS(   N4:N1440,"2018", D4:D1440,"Depuración de efluentes")</f>
        <v>0</v>
      </c>
      <c r="AD130" s="5">
        <f>COUNTIFS(   N4:N1440,"2019", D4:D1440,"Depuración de efluentes")</f>
        <v>0</v>
      </c>
      <c r="AE130" s="5">
        <f>COUNTIFS(   N4:N1440,"2020", D4:D1440,"Depuración de efluentes")</f>
        <v>1</v>
      </c>
      <c r="AF130" s="5">
        <f>COUNTIFS(   N4:N1440,"2021", D4:D1440,"Depuración de efluentes")</f>
        <v>1</v>
      </c>
      <c r="AG130" s="5">
        <f>COUNTIFS(   N4:N1440,"2022", D4:D1440,"Depuración de efluentes")</f>
        <v>0</v>
      </c>
      <c r="AH130" s="5">
        <f>COUNTIFS(   D4:D1440,"Depuración de efluentes",G4:G1440,"Sí")</f>
        <v>0</v>
      </c>
      <c r="AI130" s="5">
        <f>COUNTIFS(   D4:D1440,"Depuración de efluentes",G4:G1440,"No")</f>
        <v>2</v>
      </c>
      <c r="AJ130" s="5">
        <f>SUMIFS( E4:E1440, D4:D1440,"Depuración de efluentes",G4:G1440,"Sí")</f>
        <v>0</v>
      </c>
      <c r="AK130" s="5">
        <f>SUMIFS( E4:E1440, D4:D1440,"Depuración de efluentes",G4:G1440,"No")</f>
        <v>8</v>
      </c>
      <c r="AL130" s="5">
        <f>COUNTIFS(   D4:D1440,"Depuración de efluentes",H4:H1440,"Sí")</f>
        <v>2</v>
      </c>
      <c r="AM130" s="5">
        <f>COUNTIFS(   D4:D1440,"Depuración de efluentes",I4:I1440,"Sí")</f>
        <v>1</v>
      </c>
      <c r="AN130" s="5">
        <f>COUNTIFS(   D4:D1440,"Depuración de efluentes",I4:I1440,"No")</f>
        <v>1</v>
      </c>
      <c r="AO130" s="5">
        <f>SUMIFS( E4:E1440, D4:D1440,"Depuración de efluentes",I4:I1440,"Sí")</f>
        <v>7</v>
      </c>
      <c r="AP130" s="5">
        <f>SUMIFS( E4:E1440, D4:D1440,"Depuración de efluentes",I4:I1440,"No")</f>
        <v>1</v>
      </c>
      <c r="AQ130" s="5">
        <f>COUNTIFS(   D4:D1440,"Depuración de efluentes",J4:J1440,"Sí")</f>
        <v>2</v>
      </c>
      <c r="AR130" s="5">
        <f>COUNTIFS(   D4:D1440,"Depuración de efluentes",K4:K1440,"Sí")</f>
        <v>0</v>
      </c>
      <c r="AS130" s="5">
        <f>COUNTIFS(   D4:D1440,"Depuración de efluentes",L4:L1440,"Sí")</f>
        <v>0</v>
      </c>
      <c r="AT130" s="5">
        <f>SUMIFS( E4:E1440, D4:D1440,"Depuración de efluentes")</f>
        <v>8</v>
      </c>
      <c r="AU130" s="5">
        <f>SUMIFS( E4:E1440, F4:F1440,"Hombre", D4:D1440,"Depuración de efluentes")</f>
        <v>1</v>
      </c>
      <c r="AV130" s="5">
        <f>SUMIFS( E4:E1440, F4:F1440,"Mujer", D4:D1440,"Depuración de efluentes")</f>
        <v>7</v>
      </c>
      <c r="AW130" s="19">
        <f>SUMIFS( E4:E1440, A4:A1440,"2018", D4:D1440,"Depuración de efluentes")</f>
        <v>0</v>
      </c>
      <c r="AX130" s="5">
        <f>SUMIFS( E4:E1440, A4:A1440,"2019", D4:D1440,"Depuración de efluentes")</f>
        <v>1</v>
      </c>
      <c r="AY130" s="5">
        <f>SUMIFS( E4:E1440, A4:A1440,"2020", D4:D1440,"Depuración de efluentes")</f>
        <v>7</v>
      </c>
      <c r="AZ130" s="5">
        <f>SUMIFS( E4:E1440, A4:A1440,"2021", D4:D1440,"Depuración de efluentes")</f>
        <v>0</v>
      </c>
      <c r="BA130" s="5">
        <f>SUMIFS( E4:E1440, A4:A1440,"2022", D4:D1440,"Depuración de efluentes")</f>
        <v>0</v>
      </c>
      <c r="BB130" s="19">
        <f>SUMIFS( E4:E1440, N4:N1440,"2018", D4:D1440,"Depuración de efluentes")</f>
        <v>0</v>
      </c>
      <c r="BC130" s="5">
        <f>SUMIFS( E4:E1440, N4:N1440,"2019", D4:D1440,"Depuración de efluentes")</f>
        <v>0</v>
      </c>
      <c r="BD130" s="5">
        <f>SUMIFS( E4:E1440, N4:N1440,"2020", D4:D1440,"Depuración de efluentes")</f>
        <v>1</v>
      </c>
      <c r="BE130" s="5">
        <f>SUMIFS( E4:E1440, N4:N1440,"2021", D4:D1440,"Depuración de efluentes")</f>
        <v>7</v>
      </c>
      <c r="BF130" s="5">
        <f>SUMIFS( E4:E1440, N4:N1440,"2022", D4:D1440,"Depuración de efluentes")</f>
        <v>0</v>
      </c>
      <c r="BG130" s="14">
        <f>AVERAGEIFS( E4:E1440, D4:D1440,"Depuración de efluentes")</f>
        <v>4</v>
      </c>
      <c r="BH130" s="14"/>
      <c r="BI130" s="14"/>
      <c r="BJ130" s="14"/>
      <c r="BK130" s="14"/>
      <c r="BL130" s="37"/>
      <c r="BM130" s="14"/>
      <c r="BN130" s="14"/>
      <c r="BO130" s="14"/>
      <c r="BP130" s="14"/>
      <c r="BQ130" s="14"/>
      <c r="BR130" s="14"/>
    </row>
    <row r="131" spans="1:70" ht="15" customHeight="1">
      <c r="A131" s="24">
        <v>2018</v>
      </c>
      <c r="B131" s="24" t="s">
        <v>136</v>
      </c>
      <c r="C131" s="24" t="s">
        <v>189</v>
      </c>
      <c r="D131" s="24" t="s">
        <v>195</v>
      </c>
      <c r="E131" s="23">
        <v>4</v>
      </c>
      <c r="F131" s="24" t="s">
        <v>211</v>
      </c>
      <c r="G131" s="24" t="s">
        <v>225</v>
      </c>
      <c r="H131" s="23" t="s">
        <v>226</v>
      </c>
      <c r="I131" s="24" t="s">
        <v>226</v>
      </c>
      <c r="J131" s="23" t="s">
        <v>226</v>
      </c>
      <c r="K131" s="24" t="s">
        <v>226</v>
      </c>
      <c r="L131" s="23"/>
      <c r="M131" s="26" t="s">
        <v>295</v>
      </c>
      <c r="N131" s="24">
        <v>2019</v>
      </c>
      <c r="O131" s="51" t="s">
        <v>123</v>
      </c>
      <c r="P131" s="52"/>
      <c r="Q131" s="52"/>
      <c r="R131" s="52"/>
      <c r="S131" s="52"/>
      <c r="T131" s="53"/>
      <c r="U131" s="5">
        <f>COUNTIFS(   D4:D1440,"Química de productos Naturales")</f>
        <v>5</v>
      </c>
      <c r="V131" s="5">
        <f>COUNTIFS(   D4:D1440,"Química de productos Naturales",F4:F1440,"Hombre")</f>
        <v>3</v>
      </c>
      <c r="W131" s="5">
        <f>COUNTIFS(   D4:D1440,"Química de productos Naturales",F4:F1440,"Mujer")</f>
        <v>2</v>
      </c>
      <c r="X131" s="19">
        <f>COUNTIFS(   A4:A1440,"2018", D4:D1440,"Química de productos Naturales")</f>
        <v>1</v>
      </c>
      <c r="Y131" s="5">
        <f>COUNTIFS(   A4:A1440,"2019", D4:D1440,"Química de productos Naturales")</f>
        <v>1</v>
      </c>
      <c r="Z131" s="5">
        <f>COUNTIFS(   A4:A1440,"2020", D4:D1440,"Química de productos Naturales")</f>
        <v>2</v>
      </c>
      <c r="AA131" s="5">
        <f>COUNTIFS(   A4:A1440,"2021", D4:D1440,"Química de productos Naturales")</f>
        <v>1</v>
      </c>
      <c r="AB131" s="5">
        <f>COUNTIFS(  A4:A1440,"2022", D4:D1440,"Química de productos Naturales")</f>
        <v>0</v>
      </c>
      <c r="AC131" s="19">
        <f>COUNTIFS(   N4:N1440,"2018", D4:D1440,"Química de productos Naturales")</f>
        <v>1</v>
      </c>
      <c r="AD131" s="5">
        <f>COUNTIFS(   N4:N1440,"2019", D4:D1440,"Química de productos Naturales")</f>
        <v>0</v>
      </c>
      <c r="AE131" s="5">
        <f>COUNTIFS(   N4:N1440,"2020", D4:D1440,"Química de productos Naturales")</f>
        <v>2</v>
      </c>
      <c r="AF131" s="5">
        <f>COUNTIFS(   N4:N1440,"2021", D4:D1440,"Química de productos Naturales")</f>
        <v>2</v>
      </c>
      <c r="AG131" s="5">
        <f>COUNTIFS(   N4:N1440,"2022", D4:D1440,"Química de productos Naturales")</f>
        <v>0</v>
      </c>
      <c r="AH131" s="5">
        <f>COUNTIFS(   D4:D1440,"Química de productos Naturales",G4:G1440,"Sí")</f>
        <v>0</v>
      </c>
      <c r="AI131" s="5">
        <f>COUNTIFS(   D4:D1440,"Química de productos Naturales",G4:G1440,"No")</f>
        <v>5</v>
      </c>
      <c r="AJ131" s="5">
        <f>SUMIFS( E4:E1440, D4:D1440,"Química de productos Naturales",G4:G1440,"Sí")</f>
        <v>0</v>
      </c>
      <c r="AK131" s="5">
        <f>SUMIFS( E4:E1440, D4:D1440,"Química de productos Naturales",G4:G1440,"No")</f>
        <v>10</v>
      </c>
      <c r="AL131" s="5">
        <f>COUNTIFS(   D4:D1440,"Química de productos Naturales",H4:H1440,"Sí")</f>
        <v>3</v>
      </c>
      <c r="AM131" s="5">
        <f>COUNTIFS(   D4:D1440,"Química de productos Naturales",I4:I1440,"Sí")</f>
        <v>0</v>
      </c>
      <c r="AN131" s="5">
        <f>COUNTIFS(   D4:D1440,"Química de productos Naturales",I4:I1440,"No")</f>
        <v>5</v>
      </c>
      <c r="AO131" s="5">
        <f>SUMIFS( E4:E1440, D4:D1440,"Química de productos Naturales",I4:I1440,"Sí")</f>
        <v>0</v>
      </c>
      <c r="AP131" s="5">
        <f>SUMIFS( E4:E1440, D4:D1440,"Química de productos Naturales",I4:I1440,"No")</f>
        <v>10</v>
      </c>
      <c r="AQ131" s="5">
        <f>COUNTIFS(   D4:D1440,"Química de productos Naturales",J4:J1440,"Sí")</f>
        <v>5</v>
      </c>
      <c r="AR131" s="5">
        <f>COUNTIFS(   D4:D1440,"Química de productos Naturales",K4:K1440,"Sí")</f>
        <v>1</v>
      </c>
      <c r="AS131" s="5">
        <f>COUNTIFS(   D4:D1440,"Química de productos Naturales",L4:L1440,"Sí")</f>
        <v>0</v>
      </c>
      <c r="AT131" s="5">
        <f>SUMIFS( E4:E1440, D4:D1440,"Química de productos Naturales")</f>
        <v>10</v>
      </c>
      <c r="AU131" s="5">
        <f>SUMIFS( E4:E1440, F4:F1440,"Hombre", D4:D1440,"Química de productos Naturales")</f>
        <v>6</v>
      </c>
      <c r="AV131" s="5">
        <f>SUMIFS( E4:E1440, F4:F1440,"Mujer", D4:D1440,"Química de productos Naturales")</f>
        <v>4</v>
      </c>
      <c r="AW131" s="19">
        <f>SUMIFS( E4:E1440, A4:A1440,"2018", D4:D1440,"Química de productos Naturales")</f>
        <v>4</v>
      </c>
      <c r="AX131" s="5">
        <f>SUMIFS( E4:E1440, A4:A1440,"2019", D4:D1440,"Química de productos Naturales")</f>
        <v>0</v>
      </c>
      <c r="AY131" s="5">
        <f>SUMIFS( E4:E1440, A4:A1440,"2020", D4:D1440,"Química de productos Naturales")</f>
        <v>4</v>
      </c>
      <c r="AZ131" s="5">
        <f>SUMIFS( E4:E1440, A4:A1440,"2021", D4:D1440,"Química de productos Naturales")</f>
        <v>2</v>
      </c>
      <c r="BA131" s="5">
        <f>SUMIFS( E4:E1440, A4:A1440,"2022", D4:D1440,"Química de productos Naturales")</f>
        <v>0</v>
      </c>
      <c r="BB131" s="19">
        <f>SUMIFS( E4:E1440, N4:N1440,"2018", D4:D1440,"Química de productos Naturales")</f>
        <v>4</v>
      </c>
      <c r="BC131" s="5">
        <f>SUMIFS( E4:E1440, N4:N1440,"2019", D4:D1440,"Química de productos Naturales")</f>
        <v>0</v>
      </c>
      <c r="BD131" s="5">
        <f>SUMIFS( E4:E1440, N4:N1440,"2020", D4:D1440,"Química de productos Naturales")</f>
        <v>0</v>
      </c>
      <c r="BE131" s="5">
        <f>SUMIFS( E4:E1440, N4:N1440,"2021", D4:D1440,"Química de productos Naturales")</f>
        <v>6</v>
      </c>
      <c r="BF131" s="5">
        <f>SUMIFS( E4:E1440, N4:N1440,"2022", D4:D1440,"Química de productos Naturales")</f>
        <v>0</v>
      </c>
      <c r="BG131" s="14">
        <f>AVERAGEIFS( E4:E1440, D4:D1440,"Química de productos Naturales")</f>
        <v>3.3333333333333335</v>
      </c>
      <c r="BH131" s="14"/>
      <c r="BI131" s="14"/>
      <c r="BJ131" s="14"/>
      <c r="BK131" s="14"/>
      <c r="BL131" s="37"/>
      <c r="BM131" s="14"/>
      <c r="BN131" s="14"/>
      <c r="BO131" s="14"/>
      <c r="BP131" s="14"/>
      <c r="BQ131" s="14"/>
      <c r="BR131" s="14"/>
    </row>
    <row r="132" spans="1:70" ht="15" customHeight="1">
      <c r="A132" s="24">
        <v>2018</v>
      </c>
      <c r="B132" s="24" t="s">
        <v>4</v>
      </c>
      <c r="C132" s="24" t="s">
        <v>18</v>
      </c>
      <c r="D132" s="24" t="s">
        <v>21</v>
      </c>
      <c r="E132" s="23">
        <v>1</v>
      </c>
      <c r="F132" s="24" t="s">
        <v>211</v>
      </c>
      <c r="G132" s="24" t="s">
        <v>225</v>
      </c>
      <c r="H132" s="23" t="s">
        <v>226</v>
      </c>
      <c r="I132" s="24" t="s">
        <v>225</v>
      </c>
      <c r="J132" s="23" t="s">
        <v>226</v>
      </c>
      <c r="K132" s="24" t="s">
        <v>226</v>
      </c>
      <c r="L132" s="23"/>
      <c r="M132" s="26" t="s">
        <v>295</v>
      </c>
      <c r="N132" s="24">
        <v>2019</v>
      </c>
      <c r="O132" s="51" t="s">
        <v>15</v>
      </c>
      <c r="P132" s="52"/>
      <c r="Q132" s="52"/>
      <c r="R132" s="52"/>
      <c r="S132" s="52"/>
      <c r="T132" s="53"/>
      <c r="U132" s="5">
        <f>COUNTIFS(   D5:D1441,"Bioquímica y Biología molecular en Ciencias de la vida")</f>
        <v>9</v>
      </c>
      <c r="V132" s="5">
        <f>COUNTIFS(   D5:D1441,"Bioquímica y Biología molecular en Ciencias de la vida",F5:F1441,"Hombre")</f>
        <v>3</v>
      </c>
      <c r="W132" s="5">
        <f>COUNTIFS(   D5:D1441,"Bioquímica y Biología molecular en Ciencias de la vida",F5:F1441,"Mujer")</f>
        <v>6</v>
      </c>
      <c r="X132" s="19">
        <f>COUNTIFS(   A5:A1441,"2018", D5:D1441,"Bioquímica y Biología molecular en Ciencias de la vida")</f>
        <v>2</v>
      </c>
      <c r="Y132" s="5">
        <f>COUNTIFS(   A5:A1441,"2019", D5:D1441,"Bioquímica y Biología molecular en Ciencias de la vida")</f>
        <v>2</v>
      </c>
      <c r="Z132" s="5">
        <f>COUNTIFS(   A5:A1441,"2020", D5:D1441,"Bioquímica y Biología molecular en Ciencias de la vida")</f>
        <v>3</v>
      </c>
      <c r="AA132" s="5">
        <f>COUNTIFS(   A5:A1441,"2021", D5:D1441,"Bioquímica y Biología molecular en Ciencias de la vida")</f>
        <v>2</v>
      </c>
      <c r="AB132" s="5">
        <f>COUNTIFS(  A5:A1441,"2022", D5:D1441,"Bioquímica y Biología molecular en Ciencias de la vida")</f>
        <v>0</v>
      </c>
      <c r="AC132" s="19">
        <f>COUNTIFS(   N5:N1441,"2018", D5:D1441,"Bioquímica y Biología molecular en Ciencias de la vida")</f>
        <v>0</v>
      </c>
      <c r="AD132" s="5">
        <f>COUNTIFS(   N5:N1441,"2019", D5:D1441,"Bioquímica y Biología molecular en Ciencias de la vida")</f>
        <v>3</v>
      </c>
      <c r="AE132" s="5">
        <f>COUNTIFS(   N5:N1441,"2020", D5:D1441,"Bioquímica y Biología molecular en Ciencias de la vida")</f>
        <v>2</v>
      </c>
      <c r="AF132" s="5">
        <f>COUNTIFS(   N5:N1441,"2021", D5:D1441,"Bioquímica y Biología molecular en Ciencias de la vida")</f>
        <v>2</v>
      </c>
      <c r="AG132" s="5">
        <f>COUNTIFS(   N5:N1441,"2022", D5:D1441,"Bioquímica y Biología molecular en Ciencias de la vida")</f>
        <v>2</v>
      </c>
      <c r="AH132" s="5">
        <f>COUNTIFS(   D5:D1441,"Bioquímica y Biología molecular en Ciencias de la vida",G5:G1441,"Sí")</f>
        <v>0</v>
      </c>
      <c r="AI132" s="5">
        <f>COUNTIFS(   D5:D1441,"Bioquímica y Biología molecular en Ciencias de la vida",G5:G1441,"No")</f>
        <v>9</v>
      </c>
      <c r="AJ132" s="5">
        <f>SUMIFS( E5:E1441, D5:D1441,"Bioquímica y Biología molecular en Ciencias de la vida",G5:G1441,"Sí")</f>
        <v>0</v>
      </c>
      <c r="AK132" s="5">
        <f>SUMIFS( E5:E1441, D5:D1441,"Bioquímica y Biología molecular en Ciencias de la vida",G5:G1441,"No")</f>
        <v>67</v>
      </c>
      <c r="AL132" s="5">
        <f>COUNTIFS(   D5:D1441,"Bioquímica y Biología molecular en Ciencias de la vida",H5:H1441,"Sí")</f>
        <v>8</v>
      </c>
      <c r="AM132" s="5">
        <f>COUNTIFS(   D5:D1441,"Bioquímica y Biología molecular en Ciencias de la vida",I5:I1441,"Sí")</f>
        <v>5</v>
      </c>
      <c r="AN132" s="5">
        <f>COUNTIFS(   D5:D1441,"Bioquímica y Biología molecular en Ciencias de la vida",I5:I1441,"No")</f>
        <v>4</v>
      </c>
      <c r="AO132" s="5">
        <f>SUMIFS( E5:E1441, D5:D1441,"Bioquímica y Biología molecular en Ciencias de la vida",I5:I1441,"Sí")</f>
        <v>31</v>
      </c>
      <c r="AP132" s="5">
        <f>SUMIFS( E5:E1441, D5:D1441,"Bioquímica y Biología molecular en Ciencias de la vida",I5:I1441,"No")</f>
        <v>36</v>
      </c>
      <c r="AQ132" s="5">
        <f>COUNTIFS(   D5:D1441,"Bioquímica y Biología molecular en Ciencias de la vida",J5:J1441,"Sí")</f>
        <v>9</v>
      </c>
      <c r="AR132" s="5">
        <f>COUNTIFS(   D5:D1441,"Bioquímica y Biología molecular en Ciencias de la vida",K5:K1441,"Sí")</f>
        <v>4</v>
      </c>
      <c r="AS132" s="5">
        <f>COUNTIFS(   D5:D1441,"Bioquímica y Biología molecular en Ciencias de la vida",L5:L1441,"Sí")</f>
        <v>0</v>
      </c>
      <c r="AT132" s="5">
        <f>SUMIFS( E5:E1441, D5:D1441,"Bioquímica y Biología molecular en Ciencias de la vida")</f>
        <v>67</v>
      </c>
      <c r="AU132" s="5">
        <f>SUMIFS( E5:E1441, F5:F1441,"Hombre", D5:D1441,"Bioquímica y Biología molecular en Ciencias de la vida")</f>
        <v>23</v>
      </c>
      <c r="AV132" s="5">
        <f>SUMIFS( E5:E1441, F5:F1441,"Mujer", D5:D1441,"Bioquímica y Biología molecular en Ciencias de la vida")</f>
        <v>44</v>
      </c>
      <c r="AW132" s="19">
        <f>SUMIFS( E5:E1441, A5:A1441,"2018", D5:D1441,"Bioquímica y Biología molecular en Ciencias de la vida")</f>
        <v>21</v>
      </c>
      <c r="AX132" s="5">
        <f>SUMIFS( E5:E1441, A5:A1441,"2019", D5:D1441,"Bioquímica y Biología molecular en Ciencias de la vida")</f>
        <v>15</v>
      </c>
      <c r="AY132" s="5">
        <f>SUMIFS( E5:E1441, A5:A1441,"2020", D5:D1441,"Bioquímica y Biología molecular en Ciencias de la vida")</f>
        <v>22</v>
      </c>
      <c r="AZ132" s="5">
        <f>SUMIFS( E5:E1441, A5:A1441,"2021", D5:D1441,"Bioquímica y Biología molecular en Ciencias de la vida")</f>
        <v>9</v>
      </c>
      <c r="BA132" s="5">
        <f>SUMIFS( E5:E1441, A5:A1441,"2022", D5:D1441,"Bioquímica y Biología molecular en Ciencias de la vida")</f>
        <v>0</v>
      </c>
      <c r="BB132" s="19">
        <f>SUMIFS( E5:E1441, N5:N1441,"2018", D5:D1441,"Bioquímica y Biología molecular en Ciencias de la vida")</f>
        <v>0</v>
      </c>
      <c r="BC132" s="5">
        <f>SUMIFS( E5:E1441, N5:N1441,"2019", D5:D1441,"Bioquímica y Biología molecular en Ciencias de la vida")</f>
        <v>28</v>
      </c>
      <c r="BD132" s="5">
        <f>SUMIFS( E5:E1441, N5:N1441,"2020", D5:D1441,"Bioquímica y Biología molecular en Ciencias de la vida")</f>
        <v>16</v>
      </c>
      <c r="BE132" s="5">
        <f>SUMIFS( E5:E1441, N5:N1441,"2021", D5:D1441,"Bioquímica y Biología molecular en Ciencias de la vida")</f>
        <v>14</v>
      </c>
      <c r="BF132" s="5">
        <f>SUMIFS( E5:E1441, N5:N1441,"2022", D5:D1441,"Bioquímica y Biología molecular en Ciencias de la vida")</f>
        <v>9</v>
      </c>
      <c r="BG132" s="14">
        <f>AVERAGEIFS( E5:E1441, D5:D1441,"Bioquímica y Biología molecular en Ciencias de la vida")</f>
        <v>8.375</v>
      </c>
      <c r="BH132" s="14"/>
      <c r="BI132" s="14"/>
      <c r="BJ132" s="14"/>
      <c r="BK132" s="14"/>
      <c r="BL132" s="37"/>
      <c r="BM132" s="14"/>
      <c r="BN132" s="14"/>
      <c r="BO132" s="14"/>
      <c r="BP132" s="14"/>
      <c r="BQ132" s="14"/>
      <c r="BR132" s="14"/>
    </row>
    <row r="133" spans="1:70" ht="15" customHeight="1">
      <c r="A133" s="24">
        <v>2018</v>
      </c>
      <c r="B133" s="24" t="s">
        <v>78</v>
      </c>
      <c r="C133" s="24" t="s">
        <v>80</v>
      </c>
      <c r="D133" s="24"/>
      <c r="E133" s="23">
        <v>3</v>
      </c>
      <c r="F133" s="24" t="s">
        <v>207</v>
      </c>
      <c r="G133" s="24" t="s">
        <v>225</v>
      </c>
      <c r="H133" s="23" t="s">
        <v>226</v>
      </c>
      <c r="I133" s="24" t="s">
        <v>225</v>
      </c>
      <c r="J133" s="23" t="s">
        <v>226</v>
      </c>
      <c r="K133" s="24" t="s">
        <v>226</v>
      </c>
      <c r="L133" s="23"/>
      <c r="M133" s="26" t="s">
        <v>295</v>
      </c>
      <c r="N133" s="24">
        <v>2019</v>
      </c>
      <c r="O133" s="67" t="s">
        <v>130</v>
      </c>
      <c r="P133" s="68"/>
      <c r="Q133" s="68"/>
      <c r="R133" s="68"/>
      <c r="S133" s="68"/>
      <c r="T133" s="69"/>
      <c r="U133" s="5">
        <f>COUNTIFS(   D4:D1440,"I+D+i en tecnología analítica instrumental")</f>
        <v>5</v>
      </c>
      <c r="V133" s="5">
        <f>COUNTIFS(   D4:D1440,"I+D+i en tecnología analítica instrumental",F4:F1440,"Hombre")</f>
        <v>2</v>
      </c>
      <c r="W133" s="5">
        <f>COUNTIFS(   D4:D1440,"I+D+i en tecnología analítica instrumental",F4:F1440,"Mujer")</f>
        <v>3</v>
      </c>
      <c r="X133" s="19">
        <f>COUNTIFS(   A4:A1440,"2018", D4:D1440,"I+D+i en tecnología analítica instrumental")</f>
        <v>2</v>
      </c>
      <c r="Y133" s="5">
        <f>COUNTIFS(   A4:A1440,"2019", D4:D1440,"I+D+i en tecnología analítica instrumental")</f>
        <v>3</v>
      </c>
      <c r="Z133" s="5">
        <f>COUNTIFS(   A4:A1440,"2020", D4:D1440,"I+D+i en tecnología analítica instrumental")</f>
        <v>0</v>
      </c>
      <c r="AA133" s="5">
        <f>COUNTIFS(   A4:A1440,"2021", D4:D1440,"I+D+i en tecnología analítica instrumental")</f>
        <v>0</v>
      </c>
      <c r="AB133" s="5">
        <f>COUNTIFS(  A4:A1440,"2022", D4:D1440,"I+D+i en tecnología analítica instrumental")</f>
        <v>0</v>
      </c>
      <c r="AC133" s="19">
        <f>COUNTIFS(   N4:N1440,"2018", D4:D1440,"I+D+i en tecnología analítica instrumental")</f>
        <v>1</v>
      </c>
      <c r="AD133" s="5">
        <f>COUNTIFS(   N4:N1440,"2019", D4:D1440,"I+D+i en tecnología analítica instrumental")</f>
        <v>2</v>
      </c>
      <c r="AE133" s="5">
        <f>COUNTIFS(   N4:N1440,"2020", D4:D1440,"I+D+i en tecnología analítica instrumental")</f>
        <v>2</v>
      </c>
      <c r="AF133" s="5">
        <f>COUNTIFS(   N4:N1440,"2021", D4:D1440,"I+D+i en tecnología analítica instrumental")</f>
        <v>0</v>
      </c>
      <c r="AG133" s="5">
        <f>COUNTIFS(   N4:N1440,"2022", D4:D1440,"I+D+i en tecnología analítica instrumental")</f>
        <v>0</v>
      </c>
      <c r="AH133" s="5">
        <f>COUNTIFS(   D4:D1440,"I+D+i en tecnología analítica instrumental",G4:G1440,"Sí")</f>
        <v>0</v>
      </c>
      <c r="AI133" s="5">
        <f>COUNTIFS(   D4:D1440,"I+D+i en tecnología analítica instrumental",G4:G1440,"No")</f>
        <v>5</v>
      </c>
      <c r="AJ133" s="5">
        <f>SUMIFS( E4:E1440, D4:D1440,"I+D+i en tecnología analítica instrumental",G4:G1440,"Sí")</f>
        <v>0</v>
      </c>
      <c r="AK133" s="5">
        <f>SUMIFS( E4:E1440, D4:D1440,"I+D+i en tecnología analítica instrumental",G4:G1440,"No")</f>
        <v>77</v>
      </c>
      <c r="AL133" s="5">
        <f>COUNTIFS(   D4:D1440,"I+D+i en tecnología analítica instrumental",H4:H1440,"Sí")</f>
        <v>5</v>
      </c>
      <c r="AM133" s="5">
        <f>COUNTIFS(   D4:D1440,"I+D+i en tecnología analítica instrumental",I4:I1440,"Sí")</f>
        <v>5</v>
      </c>
      <c r="AN133" s="5">
        <f>COUNTIFS(   D4:D1440,"I+D+i en tecnología analítica instrumental",I4:I1440,"No")</f>
        <v>0</v>
      </c>
      <c r="AO133" s="5">
        <f>SUMIFS( E4:E1440, D4:D1440,"I+D+i en tecnología analítica instrumental",I4:I1440,"Sí")</f>
        <v>77</v>
      </c>
      <c r="AP133" s="5">
        <f>SUMIFS( E4:E1440, D4:D1440,"I+D+i en tecnología analítica instrumental",I4:I1440,"No")</f>
        <v>0</v>
      </c>
      <c r="AQ133" s="5">
        <f>COUNTIFS(   D4:D1440,"I+D+i en tecnología analítica instrumental",J4:J1440,"Sí")</f>
        <v>5</v>
      </c>
      <c r="AR133" s="5">
        <f>COUNTIFS(   D4:D1440,"I+D+i en tecnología analítica instrumental",K4:K1440,"Sí")</f>
        <v>3</v>
      </c>
      <c r="AS133" s="5">
        <f>COUNTIFS(   D4:D1440,"I+D+i en tecnología analítica instrumental",L4:L1440,"Sí")</f>
        <v>0</v>
      </c>
      <c r="AT133" s="5">
        <f>SUMIFS( E4:E1440, D4:D1440,"I+D+i en tecnología analítica instrumental")</f>
        <v>77</v>
      </c>
      <c r="AU133" s="5">
        <f>SUMIFS( E4:E1440, F4:F1440,"Hombre", D4:D1440,"I+D+i en tecnología analítica instrumental")</f>
        <v>41</v>
      </c>
      <c r="AV133" s="5">
        <f>SUMIFS( E4:E1440, F4:F1440,"Mujer", D4:D1440,"I+D+i en tecnología analítica instrumental")</f>
        <v>36</v>
      </c>
      <c r="AW133" s="19">
        <f>SUMIFS( E4:E1440, A4:A1440,"2018", D4:D1440,"I+D+i en tecnología analítica instrumental")</f>
        <v>22</v>
      </c>
      <c r="AX133" s="5">
        <f>SUMIFS( E4:E1440, A4:A1440,"2019", D4:D1440,"I+D+i en tecnología analítica instrumental")</f>
        <v>55</v>
      </c>
      <c r="AY133" s="5">
        <f>SUMIFS( E4:E1440, A4:A1440,"2020", D4:D1440,"I+D+i en tecnología analítica instrumental")</f>
        <v>0</v>
      </c>
      <c r="AZ133" s="5">
        <f>SUMIFS( E4:E1440, A4:A1440,"2021", D4:D1440,"I+D+i en tecnología analítica instrumental")</f>
        <v>0</v>
      </c>
      <c r="BA133" s="5">
        <f>SUMIFS( E4:E1440, A4:A1440,"2022", D4:D1440,"I+D+i en tecnología analítica instrumental")</f>
        <v>0</v>
      </c>
      <c r="BB133" s="19">
        <f>SUMIFS( E4:E1440, N4:N1440,"2018", D4:D1440,"I+D+i en tecnología analítica instrumental")</f>
        <v>4</v>
      </c>
      <c r="BC133" s="5">
        <f>SUMIFS( E4:E1440, N4:N1440,"2019", D4:D1440,"I+D+i en tecnología analítica instrumental")</f>
        <v>48</v>
      </c>
      <c r="BD133" s="5">
        <f>SUMIFS( E4:E1440, N4:N1440,"2020", D4:D1440,"I+D+i en tecnología analítica instrumental")</f>
        <v>25</v>
      </c>
      <c r="BE133" s="5">
        <f>SUMIFS( E4:E1440, N4:N1440,"2021", D4:D1440,"I+D+i en tecnología analítica instrumental")</f>
        <v>0</v>
      </c>
      <c r="BF133" s="5">
        <f>SUMIFS( E4:E1440, N4:N1440,"2022", D4:D1440,"I+D+i en tecnología analítica instrumental")</f>
        <v>0</v>
      </c>
      <c r="BG133" s="14">
        <f>AVERAGEIFS( E4:E1440, D4:D1440,"I+D+i en tecnología analítica instrumental")</f>
        <v>15.4</v>
      </c>
      <c r="BH133" s="14">
        <v>0</v>
      </c>
      <c r="BI133" s="14">
        <f>AVERAGEIFS( E4:E1440, A4:A1440,"2019", D4:D1440,"I+D+i en tecnología analítica instrumental")</f>
        <v>18.333333333333332</v>
      </c>
      <c r="BJ133" s="14">
        <v>0</v>
      </c>
      <c r="BK133" s="14">
        <v>0</v>
      </c>
      <c r="BL133" s="37">
        <v>0</v>
      </c>
      <c r="BM133" s="14">
        <v>6</v>
      </c>
      <c r="BN133" s="14">
        <v>0</v>
      </c>
      <c r="BO133" s="14">
        <v>6</v>
      </c>
      <c r="BP133" s="14">
        <v>0</v>
      </c>
      <c r="BQ133" s="14">
        <v>0</v>
      </c>
      <c r="BR133" s="14">
        <v>0</v>
      </c>
    </row>
    <row r="134" spans="1:70" ht="15" customHeight="1">
      <c r="A134" s="24">
        <v>2018</v>
      </c>
      <c r="B134" s="24" t="s">
        <v>4</v>
      </c>
      <c r="C134" s="24" t="s">
        <v>203</v>
      </c>
      <c r="D134" s="24" t="s">
        <v>204</v>
      </c>
      <c r="E134" s="28">
        <v>1</v>
      </c>
      <c r="F134" s="24" t="s">
        <v>207</v>
      </c>
      <c r="G134" s="24" t="s">
        <v>225</v>
      </c>
      <c r="H134" s="23" t="s">
        <v>225</v>
      </c>
      <c r="I134" s="24" t="s">
        <v>226</v>
      </c>
      <c r="J134" s="23" t="s">
        <v>226</v>
      </c>
      <c r="K134" s="24" t="s">
        <v>226</v>
      </c>
      <c r="L134" s="23"/>
      <c r="M134" s="26" t="s">
        <v>296</v>
      </c>
      <c r="N134" s="24">
        <v>2019</v>
      </c>
      <c r="O134" s="67" t="s">
        <v>124</v>
      </c>
      <c r="P134" s="68"/>
      <c r="Q134" s="68"/>
      <c r="R134" s="68"/>
      <c r="S134" s="68"/>
      <c r="T134" s="69"/>
      <c r="U134" s="5">
        <f>COUNTIFS(   D4:D1440,"Metodologías de obtención de información analítica en sistemas reales")</f>
        <v>7</v>
      </c>
      <c r="V134" s="5">
        <f>COUNTIFS(   D4:D1440,"Metodologías de obtención de información analítica en sistemas reales",F4:F1440,"Hombre")</f>
        <v>2</v>
      </c>
      <c r="W134" s="5">
        <f>COUNTIFS(   D4:D1440,"Metodologías de obtención de información analítica en sistemas reales",F4:F1440,"Mujer")</f>
        <v>5</v>
      </c>
      <c r="X134" s="19">
        <f>COUNTIFS(   A4:A1440,"2018", D4:D1440,"Metodologías de obtención de información analítica en sistemas reales")</f>
        <v>2</v>
      </c>
      <c r="Y134" s="5">
        <f>COUNTIFS(   A4:A1440,"2019", D4:D1440,"Metodologías de obtención de información analítica en sistemas reales")</f>
        <v>2</v>
      </c>
      <c r="Z134" s="5">
        <f>COUNTIFS(   A4:A1440,"2020", D4:D1440,"Metodologías de obtención de información analítica en sistemas reales")</f>
        <v>1</v>
      </c>
      <c r="AA134" s="5">
        <f>COUNTIFS(   A4:A1440,"2021", D4:D1440,"Metodologías de obtención de información analítica en sistemas reales")</f>
        <v>2</v>
      </c>
      <c r="AB134" s="5">
        <f>COUNTIFS(  A4:A1440,"2022", D4:D1440,"Metodologías de obtención de información analítica en sistemas reales")</f>
        <v>0</v>
      </c>
      <c r="AC134" s="19">
        <f>COUNTIFS(   N4:N1440,"2018", D4:D1440,"Metodologías de obtención de información analítica en sistemas reales")</f>
        <v>2</v>
      </c>
      <c r="AD134" s="5">
        <f>COUNTIFS(   N4:N1440,"2019", D4:D1440,"Metodologías de obtención de información analítica en sistemas reales")</f>
        <v>0</v>
      </c>
      <c r="AE134" s="5">
        <f>COUNTIFS(   N4:N1440,"2020", D4:D1440,"Metodologías de obtención de información analítica en sistemas reales")</f>
        <v>3</v>
      </c>
      <c r="AF134" s="5">
        <f>COUNTIFS(   N4:N1440,"2021", D4:D1440,"Metodologías de obtención de información analítica en sistemas reales")</f>
        <v>1</v>
      </c>
      <c r="AG134" s="5">
        <f>COUNTIFS(   N4:N1440,"2022", D4:D1440,"Metodologías de obtención de información analítica en sistemas reales")</f>
        <v>1</v>
      </c>
      <c r="AH134" s="5">
        <f>COUNTIFS(   D4:D1440,"Metodologías de obtención de información analítica en sistemas reales",G4:G1440,"Sí")</f>
        <v>1</v>
      </c>
      <c r="AI134" s="5">
        <f>COUNTIFS(   D4:D1440,"Metodologías de obtención de información analítica en sistemas reales",G4:G1440,"No")</f>
        <v>6</v>
      </c>
      <c r="AJ134" s="5">
        <f>SUMIFS( E4:E1440, D4:D1440,"Metodologías de obtención de información analítica en sistemas reales",G4:G1440,"Sí")</f>
        <v>3</v>
      </c>
      <c r="AK134" s="5">
        <f>SUMIFS( E4:E1440, D4:D1440,"Metodologías de obtención de información analítica en sistemas reales",G4:G1440,"No")</f>
        <v>122</v>
      </c>
      <c r="AL134" s="5">
        <f>COUNTIFS(   D4:D1440,"Metodologías de obtención de información analítica en sistemas reales",H4:H1440,"Sí")</f>
        <v>7</v>
      </c>
      <c r="AM134" s="5">
        <f>COUNTIFS(   D4:D1440,"Metodologías de obtención de información analítica en sistemas reales",I4:I1440,"Sí")</f>
        <v>4</v>
      </c>
      <c r="AN134" s="5">
        <f>COUNTIFS(   D4:D1440,"Metodologías de obtención de información analítica en sistemas reales",I4:I1440,"No")</f>
        <v>3</v>
      </c>
      <c r="AO134" s="5">
        <f>SUMIFS( E4:E1440, D4:D1440,"Metodologías de obtención de información analítica en sistemas reales",I4:I1440,"Sí")</f>
        <v>117</v>
      </c>
      <c r="AP134" s="5">
        <f>SUMIFS( E4:E1440, D4:D1440,"Metodologías de obtención de información analítica en sistemas reales",I4:I1440,"No")</f>
        <v>8</v>
      </c>
      <c r="AQ134" s="5">
        <f>COUNTIFS(   D4:D1440,"Metodologías de obtención de información analítica en sistemas reales",J4:J1440,"Sí")</f>
        <v>7</v>
      </c>
      <c r="AR134" s="5">
        <f>COUNTIFS(   D4:D1440,"Metodologías de obtención de información analítica en sistemas reales",K4:K1440,"Sí")</f>
        <v>2</v>
      </c>
      <c r="AS134" s="5">
        <f>COUNTIFS(   D4:D1440,"Metodologías de obtención de información analítica en sistemas reales",L4:L1440,"Sí")</f>
        <v>0</v>
      </c>
      <c r="AT134" s="5">
        <f>SUMIFS( E4:E1440, D4:D1440,"Metodologías de obtención de información analítica en sistemas reales")</f>
        <v>125</v>
      </c>
      <c r="AU134" s="5">
        <f>SUMIFS( E4:E1440, F4:F1440,"Hombre", D4:D1440,"Metodologías de obtención de información analítica en sistemas reales")</f>
        <v>5</v>
      </c>
      <c r="AV134" s="5">
        <f>SUMIFS( E4:E1440, F4:F1440,"Mujer", D4:D1440,"Metodologías de obtención de información analítica en sistemas reales")</f>
        <v>120</v>
      </c>
      <c r="AW134" s="19">
        <f>SUMIFS( E4:E1440, A4:A1440,"2018", D4:D1440,"Metodologías de obtención de información analítica en sistemas reales")</f>
        <v>54</v>
      </c>
      <c r="AX134" s="5">
        <f>SUMIFS( E4:E1440, A4:A1440,"2019", D4:D1440,"Metodologías de obtención de información analítica en sistemas reales")</f>
        <v>5</v>
      </c>
      <c r="AY134" s="5">
        <f>SUMIFS( E4:E1440, A4:A1440,"2020", D4:D1440,"Metodologías de obtención de información analítica en sistemas reales")</f>
        <v>52</v>
      </c>
      <c r="AZ134" s="5">
        <f>SUMIFS( E4:E1440, A4:A1440,"2021", D4:D1440,"Metodologías de obtención de información analítica en sistemas reales")</f>
        <v>14</v>
      </c>
      <c r="BA134" s="5">
        <f>SUMIFS( E4:E1440, A4:A1440,"2022", D4:D1440,"Metodologías de obtención de información analítica en sistemas reales")</f>
        <v>0</v>
      </c>
      <c r="BB134" s="19">
        <f>SUMIFS( E4:E1440, N4:N1440,"2018", D4:D1440,"Metodologías de obtención de información analítica en sistemas reales")</f>
        <v>54</v>
      </c>
      <c r="BC134" s="5">
        <f>SUMIFS( E4:E1440, N4:N1440,"2019", D4:D1440,"Metodologías de obtención de información analítica en sistemas reales")</f>
        <v>0</v>
      </c>
      <c r="BD134" s="5">
        <f>SUMIFS( E4:E1440, N4:N1440,"2020", D4:D1440,"Metodologías de obtención de información analítica en sistemas reales")</f>
        <v>57</v>
      </c>
      <c r="BE134" s="5">
        <f>SUMIFS( E4:E1440, N4:N1440,"2021", D4:D1440,"Metodologías de obtención de información analítica en sistemas reales")</f>
        <v>11</v>
      </c>
      <c r="BF134" s="5">
        <f>SUMIFS( E4:E1440, N4:N1440,"2022", D4:D1440,"Metodologías de obtención de información analítica en sistemas reales")</f>
        <v>3</v>
      </c>
      <c r="BG134" s="14">
        <f>AVERAGEIFS( E4:E1440, D4:D1440,"Metodologías de obtención de información analítica en sistemas reales")</f>
        <v>17.857142857142858</v>
      </c>
      <c r="BH134" s="14">
        <v>0</v>
      </c>
      <c r="BI134" s="14">
        <v>0</v>
      </c>
      <c r="BJ134" s="14">
        <v>0</v>
      </c>
      <c r="BK134" s="14">
        <f>AVERAGEIFS( E4:E1440, A4:A1440,"2021", D4:D1440,"Metodologías de obtención de información analítica en sistemas reales")</f>
        <v>7</v>
      </c>
      <c r="BL134" s="37" t="e">
        <f>AVERAGEIFS( E4:E1440, A4:A1440,"2022", D4:D1440,"Metodologías de obtención de información analítica en sistemas reales")</f>
        <v>#DIV/0!</v>
      </c>
      <c r="BM134" s="14">
        <v>12.666666666666666</v>
      </c>
      <c r="BN134" s="14">
        <v>0</v>
      </c>
      <c r="BO134" s="14">
        <v>0</v>
      </c>
      <c r="BP134" s="14">
        <v>0</v>
      </c>
      <c r="BQ134" s="14">
        <v>9</v>
      </c>
      <c r="BR134" s="14">
        <v>16.333333333333332</v>
      </c>
    </row>
    <row r="135" spans="1:70" ht="15" customHeight="1">
      <c r="A135" s="24">
        <v>2018</v>
      </c>
      <c r="B135" s="24" t="s">
        <v>78</v>
      </c>
      <c r="C135" s="24" t="s">
        <v>103</v>
      </c>
      <c r="D135" s="24" t="s">
        <v>106</v>
      </c>
      <c r="E135" s="23">
        <v>4</v>
      </c>
      <c r="F135" s="24" t="s">
        <v>211</v>
      </c>
      <c r="G135" s="24" t="s">
        <v>225</v>
      </c>
      <c r="H135" s="23" t="s">
        <v>226</v>
      </c>
      <c r="I135" s="24" t="s">
        <v>226</v>
      </c>
      <c r="J135" s="23" t="s">
        <v>226</v>
      </c>
      <c r="K135" s="24" t="s">
        <v>226</v>
      </c>
      <c r="L135" s="23"/>
      <c r="M135" s="26" t="s">
        <v>297</v>
      </c>
      <c r="N135" s="24">
        <v>2019</v>
      </c>
      <c r="O135" s="67" t="s">
        <v>129</v>
      </c>
      <c r="P135" s="68"/>
      <c r="Q135" s="68"/>
      <c r="R135" s="68"/>
      <c r="S135" s="68"/>
      <c r="T135" s="69"/>
      <c r="U135" s="5">
        <f>COUNTIFS(   D4:D1440,"Plegamiento de proteínas e interacción con ligandos")</f>
        <v>1</v>
      </c>
      <c r="V135" s="5">
        <f>COUNTIFS(   D4:D1440,"Plegamiento de proteínas e interacción con ligandos",F4:F1440,"Hombre")</f>
        <v>1</v>
      </c>
      <c r="W135" s="5">
        <f>COUNTIFS(   D4:D1440,"Plegamiento de proteínas e interacción con ligandos",F4:F1440,"Mujer")</f>
        <v>0</v>
      </c>
      <c r="X135" s="19">
        <f>COUNTIFS(   A4:A1440,"2018", D4:D1440,"Plegamiento de proteínas e interacción con ligandos")</f>
        <v>0</v>
      </c>
      <c r="Y135" s="5">
        <f>COUNTIFS(   A4:A1440,"2019", D4:D1440,"Plegamiento de proteínas e interacción con ligandos")</f>
        <v>1</v>
      </c>
      <c r="Z135" s="5">
        <f>COUNTIFS(   A4:A1440,"2020", D4:D1440,"Plegamiento de proteínas e interacción con ligandos")</f>
        <v>0</v>
      </c>
      <c r="AA135" s="5">
        <f>COUNTIFS(   A4:A1440,"2021", D4:D1440,"Plegamiento de proteínas e interacción con ligandos")</f>
        <v>0</v>
      </c>
      <c r="AB135" s="5">
        <f>COUNTIFS(  A4:A1440,"2022", D4:D1440,"Plegamiento de proteínas e interacción con ligandos")</f>
        <v>0</v>
      </c>
      <c r="AC135" s="19">
        <f>COUNTIFS(   N4:N1440,"2018", D4:D1440,"Plegamiento de proteínas e interacción con ligandos")</f>
        <v>0</v>
      </c>
      <c r="AD135" s="5">
        <f>COUNTIFS(   N4:N1440,"2019", D4:D1440,"Plegamiento de proteínas e interacción con ligandos")</f>
        <v>0</v>
      </c>
      <c r="AE135" s="5">
        <f>COUNTIFS(   N4:N1440,"2020", D4:D1440,"Plegamiento de proteínas e interacción con ligandos")</f>
        <v>1</v>
      </c>
      <c r="AF135" s="5">
        <f>COUNTIFS(   N4:N1440,"2021", D4:D1440,"Plegamiento de proteínas e interacción con ligandos")</f>
        <v>0</v>
      </c>
      <c r="AG135" s="5">
        <f>COUNTIFS(   N4:N1440,"2022", D4:D1440,"Plegamiento de proteínas e interacción con ligandos")</f>
        <v>0</v>
      </c>
      <c r="AH135" s="5">
        <f>COUNTIFS(   D4:D1440,"Plegamiento de proteínas e interacción con ligandos",G4:G1440,"Sí")</f>
        <v>0</v>
      </c>
      <c r="AI135" s="5">
        <f>COUNTIFS(   D4:D1440,"Plegamiento de proteínas e interacción con ligandos",G4:G1440,"No")</f>
        <v>1</v>
      </c>
      <c r="AJ135" s="5">
        <f>SUMIFS( E4:E1440, D4:D1440,"Plegamiento de proteínas e interacción con ligandos",G4:G1440,"Sí")</f>
        <v>0</v>
      </c>
      <c r="AK135" s="5">
        <f>SUMIFS( E4:E1440, D4:D1440,"Plegamiento de proteínas e interacción con ligandos",G4:G1440,"No")</f>
        <v>0</v>
      </c>
      <c r="AL135" s="5">
        <f>COUNTIFS(   D4:D1440,"Plegamiento de proteínas e interacción con ligandos",H4:H1440,"Sí")</f>
        <v>0</v>
      </c>
      <c r="AM135" s="5">
        <f>COUNTIFS(   D4:D1440,"Plegamiento de proteínas e interacción con ligandos",I4:I1440,"Sí")</f>
        <v>0</v>
      </c>
      <c r="AN135" s="5">
        <f>COUNTIFS(   D4:D1440,"Plegamiento de proteínas e interacción con ligandos",I4:I1440,"No")</f>
        <v>1</v>
      </c>
      <c r="AO135" s="5">
        <f>SUMIFS( E4:E1440, D4:D1440,"Plegamiento de proteínas e interacción con ligandos",I4:I1440,"Sí")</f>
        <v>0</v>
      </c>
      <c r="AP135" s="5">
        <f>SUMIFS( E4:E1440, D4:D1440,"Plegamiento de proteínas e interacción con ligandos",I4:I1440,"No")</f>
        <v>0</v>
      </c>
      <c r="AQ135" s="5">
        <f>COUNTIFS(   D4:D1440,"Plegamiento de proteínas e interacción con ligandos",J4:J1440,"Sí")</f>
        <v>1</v>
      </c>
      <c r="AR135" s="5">
        <f>COUNTIFS(   D4:D1440,"Plegamiento de proteínas e interacción con ligandos",K4:K1440,"Sí")</f>
        <v>0</v>
      </c>
      <c r="AS135" s="5">
        <f>COUNTIFS(   D4:D1440,"Plegamiento de proteínas e interacción con ligandos",L4:L1440,"Sí")</f>
        <v>0</v>
      </c>
      <c r="AT135" s="5">
        <f>SUMIFS( E4:E1440, D4:D1440,"Plegamiento de proteínas e interacción con ligandos")</f>
        <v>0</v>
      </c>
      <c r="AU135" s="5">
        <f>SUMIFS( E4:E1440, F4:F1440,"Hombre", D4:D1440,"Plegamiento de proteínas e interacción con ligandos")</f>
        <v>0</v>
      </c>
      <c r="AV135" s="5">
        <f>SUMIFS( E4:E1440, F4:F1440,"Mujer", D4:D1440,"Plegamiento de proteínas e interacción con ligandos")</f>
        <v>0</v>
      </c>
      <c r="AW135" s="19">
        <f>SUMIFS( E4:E1440, A4:A1440,"2018", D4:D1440,"Plegamiento de proteínas e interacción con ligandos")</f>
        <v>0</v>
      </c>
      <c r="AX135" s="5">
        <f>SUMIFS( E4:E1440, A4:A1440,"2019", D4:D1440,"Plegamiento de proteínas e interacción con ligandos")</f>
        <v>0</v>
      </c>
      <c r="AY135" s="5">
        <f>SUMIFS( E4:E1440, A4:A1440,"2020", D4:D1440,"Plegamiento de proteínas e interacción con ligandos")</f>
        <v>0</v>
      </c>
      <c r="AZ135" s="5">
        <f>SUMIFS( E4:E1440, A4:A1440,"2021", D4:D1440,"Plegamiento de proteínas e interacción con ligandos")</f>
        <v>0</v>
      </c>
      <c r="BA135" s="5">
        <f>SUMIFS( E4:E1440, A4:A1440,"2022", D4:D1440,"Plegamiento de proteínas e interacción con ligandos")</f>
        <v>0</v>
      </c>
      <c r="BB135" s="19">
        <f>SUMIFS( E4:E1440, N4:N1440,"2018", D4:D1440,"Plegamiento de proteínas e interacción con ligandos")</f>
        <v>0</v>
      </c>
      <c r="BC135" s="5">
        <f>SUMIFS( E4:E1440, N4:N1440,"2019", D4:D1440,"Plegamiento de proteínas e interacción con ligandos")</f>
        <v>0</v>
      </c>
      <c r="BD135" s="5">
        <f>SUMIFS( E4:E1440, N4:N1440,"2020", D4:D1440,"Plegamiento de proteínas e interacción con ligandos")</f>
        <v>0</v>
      </c>
      <c r="BE135" s="5">
        <f>SUMIFS( E4:E1440, N4:N1440,"2021", D4:D1440,"Plegamiento de proteínas e interacción con ligandos")</f>
        <v>0</v>
      </c>
      <c r="BF135" s="5">
        <f>SUMIFS( E4:E1440, N4:N1440,"2022", D4:D1440,"Plegamiento de proteínas e interacción con ligandos")</f>
        <v>0</v>
      </c>
      <c r="BG135" s="14" t="e">
        <f>AVERAGEIFS( E4:E1440, D4:D1440,"Plegamiento de proteínas e interacción con ligandos")</f>
        <v>#DIV/0!</v>
      </c>
      <c r="BH135" s="14">
        <v>0</v>
      </c>
      <c r="BI135" s="14">
        <v>0</v>
      </c>
      <c r="BJ135" s="14" t="e">
        <f>AVERAGEIFS( E4:E1440, A4:A1440,"2020", D4:D1440,"Plegamiento de proteínas e interacción con ligandos")</f>
        <v>#DIV/0!</v>
      </c>
      <c r="BK135" s="14">
        <v>0</v>
      </c>
      <c r="BL135" s="37">
        <v>0</v>
      </c>
      <c r="BM135" s="14">
        <v>2</v>
      </c>
      <c r="BN135" s="14">
        <v>0</v>
      </c>
      <c r="BO135" s="14">
        <v>0</v>
      </c>
      <c r="BP135" s="14">
        <v>2</v>
      </c>
      <c r="BQ135" s="14">
        <v>0</v>
      </c>
      <c r="BR135" s="14">
        <v>0</v>
      </c>
    </row>
    <row r="136" spans="1:70" ht="15" customHeight="1">
      <c r="A136" s="24">
        <v>2018</v>
      </c>
      <c r="B136" s="24" t="s">
        <v>136</v>
      </c>
      <c r="C136" s="24" t="s">
        <v>176</v>
      </c>
      <c r="D136" s="24" t="s">
        <v>186</v>
      </c>
      <c r="E136" s="23"/>
      <c r="F136" s="24" t="s">
        <v>211</v>
      </c>
      <c r="G136" s="24" t="s">
        <v>225</v>
      </c>
      <c r="H136" s="23" t="s">
        <v>225</v>
      </c>
      <c r="I136" s="24" t="s">
        <v>225</v>
      </c>
      <c r="J136" s="23" t="s">
        <v>226</v>
      </c>
      <c r="K136" s="24" t="s">
        <v>226</v>
      </c>
      <c r="L136" s="23"/>
      <c r="M136" s="26" t="s">
        <v>297</v>
      </c>
      <c r="N136" s="24">
        <v>2019</v>
      </c>
      <c r="O136" s="67" t="s">
        <v>126</v>
      </c>
      <c r="P136" s="68"/>
      <c r="Q136" s="68"/>
      <c r="R136" s="68"/>
      <c r="S136" s="68"/>
      <c r="T136" s="69"/>
      <c r="U136" s="5">
        <f>COUNTIFS(   D4:D1440,"Proteómica e ingeniería de proteínas")</f>
        <v>1</v>
      </c>
      <c r="V136" s="5">
        <f>COUNTIFS(   D4:D1440,"Proteómica e ingeniería de proteínas",F4:F1440,"Hombre")</f>
        <v>0</v>
      </c>
      <c r="W136" s="5">
        <f>COUNTIFS(   D4:D1440,"Proteómica e ingeniería de proteínas",F4:F1440,"Mujer")</f>
        <v>1</v>
      </c>
      <c r="X136" s="19">
        <f>COUNTIFS(   A4:A1440,"2018", D4:D1440,"Proteómica e ingeniería de proteínas")</f>
        <v>0</v>
      </c>
      <c r="Y136" s="5">
        <f>COUNTIFS(   A4:A1440,"2019", D4:D1440,"Proteómica e ingeniería de proteínas")</f>
        <v>0</v>
      </c>
      <c r="Z136" s="5">
        <f>COUNTIFS(   A4:A1440,"2020", D4:D1440,"Proteómica e ingeniería de proteínas")</f>
        <v>0</v>
      </c>
      <c r="AA136" s="5">
        <f>COUNTIFS(   A4:A1440,"2021", D4:D1440,"Proteómica e ingeniería de proteínas")</f>
        <v>1</v>
      </c>
      <c r="AB136" s="5">
        <f>COUNTIFS(  A4:A1440,"2022", D4:D1440,"Proteómica e ingeniería de proteínas")</f>
        <v>0</v>
      </c>
      <c r="AC136" s="19">
        <f>COUNTIFS(   N4:N1440,"2018", D4:D1440,"Proteómica e ingeniería de proteínas")</f>
        <v>0</v>
      </c>
      <c r="AD136" s="5">
        <f>COUNTIFS(   N4:N1440,"2019", D4:D1440,"Proteómica e ingeniería de proteínas")</f>
        <v>0</v>
      </c>
      <c r="AE136" s="5">
        <f>COUNTIFS(   N4:N1440,"2020", D4:D1440,"Proteómica e ingeniería de proteínas")</f>
        <v>0</v>
      </c>
      <c r="AF136" s="5">
        <f>COUNTIFS(   N4:N1440,"2021", D4:D1440,"Proteómica e ingeniería de proteínas")</f>
        <v>0</v>
      </c>
      <c r="AG136" s="5">
        <f>COUNTIFS(   N4:N1440,"2022", D4:D1440,"Proteómica e ingeniería de proteínas")</f>
        <v>1</v>
      </c>
      <c r="AH136" s="5">
        <f>COUNTIFS(   D4:D1440,"Proteómica e ingeniería de proteínas",G4:G1440,"Sí")</f>
        <v>0</v>
      </c>
      <c r="AI136" s="5">
        <f>COUNTIFS(   D4:D1440,"Proteómica e ingeniería de proteínas",G4:G1440,"No")</f>
        <v>1</v>
      </c>
      <c r="AJ136" s="5">
        <f>SUMIFS( E4:E1440, D4:D1440,"Proteómica e ingeniería de proteínas",G4:G1440,"Sí")</f>
        <v>0</v>
      </c>
      <c r="AK136" s="5">
        <f>SUMIFS( E4:E1440, D4:D1440,"Proteómica e ingeniería de proteínas",G4:G1440,"No")</f>
        <v>3</v>
      </c>
      <c r="AL136" s="5">
        <f>COUNTIFS(   D4:D1440,"Proteómica e ingeniería de proteínas",H4:H1440,"Sí")</f>
        <v>1</v>
      </c>
      <c r="AM136" s="5">
        <f>COUNTIFS(   D4:D1440,"Proteómica e ingeniería de proteínas",I4:I1440,"Sí")</f>
        <v>1</v>
      </c>
      <c r="AN136" s="5">
        <f>COUNTIFS(   D4:D1440,"Proteómica e ingeniería de proteínas",I4:I1440,"No")</f>
        <v>0</v>
      </c>
      <c r="AO136" s="5">
        <f>SUMIFS( E4:E1440, D4:D1440,"Proteómica e ingeniería de proteínas",I4:I1440,"Sí")</f>
        <v>3</v>
      </c>
      <c r="AP136" s="5">
        <f>SUMIFS( E4:E1440, D4:D1440,"Proteómica e ingeniería de proteínas",I4:I1440,"No")</f>
        <v>0</v>
      </c>
      <c r="AQ136" s="5">
        <f>COUNTIFS(   D4:D1440,"Proteómica e ingeniería de proteínas",J4:J1440,"Sí")</f>
        <v>1</v>
      </c>
      <c r="AR136" s="5">
        <f>COUNTIFS(   D4:D1440,"Proteómica e ingeniería de proteínas",K4:K1440,"Sí")</f>
        <v>0</v>
      </c>
      <c r="AS136" s="5">
        <f>COUNTIFS(   D4:D1440,"Proteómica e ingeniería de proteínas",L4:L1440,"Sí")</f>
        <v>0</v>
      </c>
      <c r="AT136" s="5">
        <f>SUMIFS( E4:E1440, D4:D1440,"Proteómica e ingeniería de proteínas")</f>
        <v>3</v>
      </c>
      <c r="AU136" s="5">
        <f>SUMIFS( E4:E1440, F4:F1440,"Hombre", D4:D1440,"Proteómica e ingeniería de proteínas")</f>
        <v>0</v>
      </c>
      <c r="AV136" s="5">
        <f>SUMIFS( E4:E1440, F4:F1440,"Mujer", D4:D1440,"Proteómica e ingeniería de proteínas")</f>
        <v>3</v>
      </c>
      <c r="AW136" s="19">
        <f>SUMIFS( E4:E1440, A4:A1440,"2018", D4:D1440,"Proteómica e ingeniería de proteínas")</f>
        <v>0</v>
      </c>
      <c r="AX136" s="5">
        <f>SUMIFS( E4:E1440, A4:A1440,"2019", D4:D1440,"Proteómica e ingeniería de proteínas")</f>
        <v>0</v>
      </c>
      <c r="AY136" s="5">
        <f>SUMIFS( E4:E1440, A4:A1440,"2020", D4:D1440,"Proteómica e ingeniería de proteínas")</f>
        <v>0</v>
      </c>
      <c r="AZ136" s="5">
        <f>SUMIFS( E4:E1440, A4:A1440,"2021", D4:D1440,"Proteómica e ingeniería de proteínas")</f>
        <v>3</v>
      </c>
      <c r="BA136" s="5">
        <f>SUMIFS( E4:E1440, A4:A1440,"2022", D4:D1440,"Proteómica e ingeniería de proteínas")</f>
        <v>0</v>
      </c>
      <c r="BB136" s="19">
        <f>SUMIFS( E4:E1440, N4:N1440,"2018", D4:D1440,"Proteómica e ingeniería de proteínas")</f>
        <v>0</v>
      </c>
      <c r="BC136" s="5">
        <f>SUMIFS( E4:E1440, N4:N1440,"2019", D4:D1440,"Proteómica e ingeniería de proteínas")</f>
        <v>0</v>
      </c>
      <c r="BD136" s="5">
        <f>SUMIFS( E4:E1440, N4:N1440,"2020", D4:D1440,"Proteómica e ingeniería de proteínas")</f>
        <v>0</v>
      </c>
      <c r="BE136" s="5">
        <f>SUMIFS( E4:E1440, N4:N1440,"2021", D4:D1440,"Proteómica e ingeniería de proteínas")</f>
        <v>0</v>
      </c>
      <c r="BF136" s="5">
        <f>SUMIFS( E4:E1440, N4:N1440,"2022", D4:D1440,"Proteómica e ingeniería de proteínas")</f>
        <v>3</v>
      </c>
      <c r="BG136" s="14">
        <f>AVERAGEIFS( E4:E1440, D4:D1440,"Proteómica e ingeniería de proteínas")</f>
        <v>3</v>
      </c>
      <c r="BH136" s="14">
        <v>0</v>
      </c>
      <c r="BI136" s="14">
        <v>0</v>
      </c>
      <c r="BJ136" s="14">
        <v>0</v>
      </c>
      <c r="BK136" s="14">
        <v>0</v>
      </c>
      <c r="BL136" s="37" t="e">
        <f>AVERAGEIFS( E4:E1440, A4:A1440,"2022", D4:D1440,"Proteómica e ingeniería de proteínas")</f>
        <v>#DIV/0!</v>
      </c>
      <c r="BM136" s="14">
        <v>2</v>
      </c>
      <c r="BN136" s="14">
        <v>0</v>
      </c>
      <c r="BO136" s="14">
        <v>0</v>
      </c>
      <c r="BP136" s="14">
        <v>0</v>
      </c>
      <c r="BQ136" s="14">
        <v>0</v>
      </c>
      <c r="BR136" s="14">
        <v>2</v>
      </c>
    </row>
    <row r="137" spans="1:70" ht="15" customHeight="1">
      <c r="A137" s="24">
        <v>2018</v>
      </c>
      <c r="B137" s="24" t="s">
        <v>4</v>
      </c>
      <c r="C137" s="24" t="s">
        <v>23</v>
      </c>
      <c r="D137" s="24" t="s">
        <v>26</v>
      </c>
      <c r="E137" s="23">
        <v>40</v>
      </c>
      <c r="F137" s="24" t="s">
        <v>207</v>
      </c>
      <c r="G137" s="24" t="s">
        <v>225</v>
      </c>
      <c r="H137" s="23" t="s">
        <v>226</v>
      </c>
      <c r="I137" s="24" t="s">
        <v>225</v>
      </c>
      <c r="J137" s="23" t="s">
        <v>226</v>
      </c>
      <c r="K137" s="24" t="s">
        <v>226</v>
      </c>
      <c r="L137" s="23"/>
      <c r="M137" s="26" t="s">
        <v>297</v>
      </c>
      <c r="N137" s="24">
        <v>2019</v>
      </c>
      <c r="O137" s="67" t="s">
        <v>128</v>
      </c>
      <c r="P137" s="68"/>
      <c r="Q137" s="68"/>
      <c r="R137" s="68"/>
      <c r="S137" s="68"/>
      <c r="T137" s="69"/>
      <c r="U137" s="5">
        <f>COUNTIFS(   D4:D1440,"Química de la coordinación")</f>
        <v>6</v>
      </c>
      <c r="V137" s="5">
        <f>COUNTIFS(   D4:D1440,"Química de la coordinación",F4:F1440,"Hombre")</f>
        <v>4</v>
      </c>
      <c r="W137" s="5">
        <f>COUNTIFS(   D4:D1440,"Química de la coordinación",F4:F1440,"Mujer")</f>
        <v>2</v>
      </c>
      <c r="X137" s="19">
        <f>COUNTIFS(   A4:A1440,"2018", D4:D1440,"Química de la coordinación")</f>
        <v>0</v>
      </c>
      <c r="Y137" s="5">
        <f>COUNTIFS(   A4:A1440,"2019", D4:D1440,"Química de la coordinación")</f>
        <v>4</v>
      </c>
      <c r="Z137" s="5">
        <f>COUNTIFS(   A4:A1440,"2020", D4:D1440,"Química de la coordinación")</f>
        <v>1</v>
      </c>
      <c r="AA137" s="5">
        <f>COUNTIFS(   A4:A1440,"2021", D4:D1440,"Química de la coordinación")</f>
        <v>1</v>
      </c>
      <c r="AB137" s="5">
        <f>COUNTIFS(  A4:A1440,"2022", D4:D1440,"Química de la coordinación")</f>
        <v>0</v>
      </c>
      <c r="AC137" s="19">
        <f>COUNTIFS(   N4:N1440,"2018", D4:D1440,"Química de la coordinación")</f>
        <v>0</v>
      </c>
      <c r="AD137" s="5">
        <f>COUNTIFS(   N4:N1440,"2019", D4:D1440,"Química de la coordinación")</f>
        <v>2</v>
      </c>
      <c r="AE137" s="5">
        <f>COUNTIFS(   N4:N1440,"2020", D4:D1440,"Química de la coordinación")</f>
        <v>2</v>
      </c>
      <c r="AF137" s="5">
        <f>COUNTIFS(   N4:N1440,"2021", D4:D1440,"Química de la coordinación")</f>
        <v>1</v>
      </c>
      <c r="AG137" s="5">
        <f>COUNTIFS(   N4:N1440,"2022", D4:D1440,"Química de la coordinación")</f>
        <v>1</v>
      </c>
      <c r="AH137" s="5">
        <f>COUNTIFS(   D4:D1440,"Química de la coordinación",G4:G1440,"Sí")</f>
        <v>1</v>
      </c>
      <c r="AI137" s="5">
        <f>COUNTIFS(   D4:D1440,"Química de la coordinación",G4:G1440,"No")</f>
        <v>5</v>
      </c>
      <c r="AJ137" s="5">
        <f>SUMIFS( E4:E1440, D4:D1440,"Química de la coordinación",G4:G1440,"Sí")</f>
        <v>1</v>
      </c>
      <c r="AK137" s="5">
        <f>SUMIFS( E4:E1440, D4:D1440,"Química de la coordinación",G4:G1440,"No")</f>
        <v>34</v>
      </c>
      <c r="AL137" s="5">
        <f>COUNTIFS(   D4:D1440,"Química de la coordinación",H4:H1440,"Sí")</f>
        <v>5</v>
      </c>
      <c r="AM137" s="5">
        <f>COUNTIFS(   D4:D1440,"Química de la coordinación",I4:I1440,"Sí")</f>
        <v>3</v>
      </c>
      <c r="AN137" s="5">
        <f>COUNTIFS(   D4:D1440,"Química de la coordinación",I4:I1440,"No")</f>
        <v>3</v>
      </c>
      <c r="AO137" s="5">
        <f>SUMIFS( E4:E1440, D4:D1440,"Química de la coordinación",I4:I1440,"Sí")</f>
        <v>21</v>
      </c>
      <c r="AP137" s="5">
        <f>SUMIFS( E4:E1440, D4:D1440,"Química de la coordinación",I4:I1440,"No")</f>
        <v>14</v>
      </c>
      <c r="AQ137" s="5">
        <f>COUNTIFS(   D4:D1440,"Química de la coordinación",J4:J1440,"Sí")</f>
        <v>6</v>
      </c>
      <c r="AR137" s="5">
        <f>COUNTIFS(   D4:D1440,"Química de la coordinación",K4:K1440,"Sí")</f>
        <v>1</v>
      </c>
      <c r="AS137" s="5">
        <f>COUNTIFS(   D4:D1440,"Química de la coordinación",L4:L1440,"Sí")</f>
        <v>0</v>
      </c>
      <c r="AT137" s="5">
        <f>SUMIFS( E4:E1440, D4:D1440,"Química de la coordinación")</f>
        <v>35</v>
      </c>
      <c r="AU137" s="5">
        <f>SUMIFS( E4:E1440, F4:F1440,"Hombre", D4:D1440,"Química de la coordinación")</f>
        <v>29</v>
      </c>
      <c r="AV137" s="5">
        <f>SUMIFS( E4:E1440, F4:F1440,"Mujer", D4:D1440,"Química de la coordinación")</f>
        <v>6</v>
      </c>
      <c r="AW137" s="19">
        <f>SUMIFS( E4:E1440, A4:A1440,"2018", D4:D1440,"Química de la coordinación")</f>
        <v>0</v>
      </c>
      <c r="AX137" s="5">
        <f>SUMIFS( E4:E1440, A4:A1440,"2019", D4:D1440,"Química de la coordinación")</f>
        <v>29</v>
      </c>
      <c r="AY137" s="5">
        <f>SUMIFS( E4:E1440, A4:A1440,"2020", D4:D1440,"Química de la coordinación")</f>
        <v>0</v>
      </c>
      <c r="AZ137" s="5">
        <f>SUMIFS( E4:E1440, A4:A1440,"2021", D4:D1440,"Química de la coordinación")</f>
        <v>6</v>
      </c>
      <c r="BA137" s="5">
        <f>SUMIFS( E4:E1440, A4:A1440,"2022", D4:D1440,"Química de la coordinación")</f>
        <v>0</v>
      </c>
      <c r="BB137" s="19">
        <f>SUMIFS( E4:E1440, N4:N1440,"2018", D4:D1440,"Química de la coordinación")</f>
        <v>0</v>
      </c>
      <c r="BC137" s="5">
        <f>SUMIFS( E4:E1440, N4:N1440,"2019", D4:D1440,"Química de la coordinación")</f>
        <v>12</v>
      </c>
      <c r="BD137" s="5">
        <f>SUMIFS( E4:E1440, N4:N1440,"2020", D4:D1440,"Química de la coordinación")</f>
        <v>17</v>
      </c>
      <c r="BE137" s="5">
        <f>SUMIFS( E4:E1440, N4:N1440,"2021", D4:D1440,"Química de la coordinación")</f>
        <v>0</v>
      </c>
      <c r="BF137" s="5">
        <f>SUMIFS( E4:E1440, N4:N1440,"2022", D4:D1440,"Química de la coordinación")</f>
        <v>6</v>
      </c>
      <c r="BG137" s="14">
        <f>AVERAGEIFS( E4:E1440, D4:D1440,"Química de la coordinación")</f>
        <v>7</v>
      </c>
      <c r="BH137" s="14">
        <v>0</v>
      </c>
      <c r="BI137" s="14">
        <v>0</v>
      </c>
      <c r="BJ137" s="14">
        <v>0</v>
      </c>
      <c r="BK137" s="14">
        <f>AVERAGEIFS( E4:E1440, A4:A1440,"2021", D4:D1440,"Química de la coordinación")</f>
        <v>6</v>
      </c>
      <c r="BL137" s="37" t="e">
        <f>AVERAGEIFS( E4:E1440, A4:A1440,"2022", D4:D1440,"Química de la coordinación")</f>
        <v>#DIV/0!</v>
      </c>
      <c r="BM137" s="14">
        <v>6.6</v>
      </c>
      <c r="BN137" s="14">
        <v>0</v>
      </c>
      <c r="BO137" s="14">
        <v>0</v>
      </c>
      <c r="BP137" s="14">
        <v>0</v>
      </c>
      <c r="BQ137" s="14">
        <v>12</v>
      </c>
      <c r="BR137" s="14">
        <v>5.25</v>
      </c>
    </row>
    <row r="138" spans="1:70" ht="15" customHeight="1">
      <c r="A138" s="24">
        <v>2018</v>
      </c>
      <c r="B138" s="24" t="s">
        <v>136</v>
      </c>
      <c r="C138" s="24" t="s">
        <v>176</v>
      </c>
      <c r="D138" s="24" t="s">
        <v>181</v>
      </c>
      <c r="E138" s="23">
        <v>1</v>
      </c>
      <c r="F138" s="24" t="s">
        <v>207</v>
      </c>
      <c r="G138" s="24" t="s">
        <v>225</v>
      </c>
      <c r="H138" s="23" t="s">
        <v>226</v>
      </c>
      <c r="I138" s="24" t="s">
        <v>225</v>
      </c>
      <c r="J138" s="23" t="s">
        <v>226</v>
      </c>
      <c r="K138" s="24" t="s">
        <v>226</v>
      </c>
      <c r="L138" s="23"/>
      <c r="M138" s="26" t="s">
        <v>297</v>
      </c>
      <c r="N138" s="24">
        <v>2019</v>
      </c>
      <c r="O138" s="67" t="s">
        <v>123</v>
      </c>
      <c r="P138" s="68"/>
      <c r="Q138" s="68"/>
      <c r="R138" s="68"/>
      <c r="S138" s="68"/>
      <c r="T138" s="69"/>
      <c r="U138" s="5">
        <f>COUNTIFS(   D4:D1440,"Química de productos Naturales")</f>
        <v>5</v>
      </c>
      <c r="V138" s="5">
        <f>COUNTIFS(   D4:D1440,"Química de productos Naturales",F4:F1440,"Hombre")</f>
        <v>3</v>
      </c>
      <c r="W138" s="5">
        <f>COUNTIFS(   D4:D1440,"Química de productos Naturales",F4:F1440,"Mujer")</f>
        <v>2</v>
      </c>
      <c r="X138" s="19">
        <f>COUNTIFS(   A4:A1440,"2018", D4:D1440,"Química de productos Naturales")</f>
        <v>1</v>
      </c>
      <c r="Y138" s="5">
        <f>COUNTIFS(   A4:A1440,"2019", D4:D1440,"Química de productos Naturales")</f>
        <v>1</v>
      </c>
      <c r="Z138" s="5">
        <f>COUNTIFS(   A4:A1440,"2020", D4:D1440,"Química de productos Naturales")</f>
        <v>2</v>
      </c>
      <c r="AA138" s="5">
        <f>COUNTIFS(   A4:A1440,"2021", D4:D1440,"Química de productos Naturales")</f>
        <v>1</v>
      </c>
      <c r="AB138" s="5">
        <f>COUNTIFS(  A4:A1440,"2022", D4:D1440,"Química de productos Naturales")</f>
        <v>0</v>
      </c>
      <c r="AC138" s="19">
        <f>COUNTIFS(   N4:N1440,"2018", D4:D1440,"Química de productos Naturales")</f>
        <v>1</v>
      </c>
      <c r="AD138" s="5">
        <f>COUNTIFS(   N4:N1440,"2019", D4:D1440,"Química de productos Naturales")</f>
        <v>0</v>
      </c>
      <c r="AE138" s="5">
        <f>COUNTIFS(   N4:N1440,"2020", D4:D1440,"Química de productos Naturales")</f>
        <v>2</v>
      </c>
      <c r="AF138" s="5">
        <f>COUNTIFS(   N4:N1440,"2021", D4:D1440,"Química de productos Naturales")</f>
        <v>2</v>
      </c>
      <c r="AG138" s="5">
        <f>COUNTIFS(   N4:N1440,"2022", D4:D1440,"Química de productos Naturales")</f>
        <v>0</v>
      </c>
      <c r="AH138" s="5">
        <f>COUNTIFS(   D4:D1440,"Química de productos Naturales",G4:G1440,"Sí")</f>
        <v>0</v>
      </c>
      <c r="AI138" s="5">
        <f>COUNTIFS(   D4:D1440,"Química de productos Naturales",G4:G1440,"No")</f>
        <v>5</v>
      </c>
      <c r="AJ138" s="5">
        <f>SUMIFS( E4:E1440, D4:D1440,"Química de productos Naturales",G4:G1440,"Sí")</f>
        <v>0</v>
      </c>
      <c r="AK138" s="5">
        <f>SUMIFS( E4:E1440, D4:D1440,"Química de productos Naturales",G4:G1440,"No")</f>
        <v>10</v>
      </c>
      <c r="AL138" s="5">
        <f>COUNTIFS(   D4:D1440,"Química de productos Naturales",H4:H1440,"Sí")</f>
        <v>3</v>
      </c>
      <c r="AM138" s="5">
        <f>COUNTIFS(   D4:D1440,"Química de productos Naturales",I4:I1440,"Sí")</f>
        <v>0</v>
      </c>
      <c r="AN138" s="5">
        <f>COUNTIFS(   D4:D1440,"Química de productos Naturales",I4:I1440,"No")</f>
        <v>5</v>
      </c>
      <c r="AO138" s="5">
        <f>SUMIFS( E4:E1440, D4:D1440,"Química de productos Naturales",I4:I1440,"Sí")</f>
        <v>0</v>
      </c>
      <c r="AP138" s="5">
        <f>SUMIFS( E4:E1440, D4:D1440,"Química de productos Naturales",I4:I1440,"No")</f>
        <v>10</v>
      </c>
      <c r="AQ138" s="5">
        <f>COUNTIFS(   D4:D1440,"Química de productos Naturales",J4:J1440,"Sí")</f>
        <v>5</v>
      </c>
      <c r="AR138" s="5">
        <f>COUNTIFS(   D4:D1440,"Química de productos Naturales",K4:K1440,"Sí")</f>
        <v>1</v>
      </c>
      <c r="AS138" s="5">
        <f>COUNTIFS(   D4:D1440,"Química de productos Naturales",L4:L1440,"Sí")</f>
        <v>0</v>
      </c>
      <c r="AT138" s="5">
        <f>SUMIFS( E4:E1440, D4:D1440,"Química de productos Naturales")</f>
        <v>10</v>
      </c>
      <c r="AU138" s="5">
        <f>SUMIFS( E4:E1440, F4:F1440,"Hombre", D4:D1440,"Química de productos Naturales")</f>
        <v>6</v>
      </c>
      <c r="AV138" s="5">
        <f>SUMIFS( E4:E1440, F4:F1440,"Mujer", D4:D1440,"Química de productos Naturales")</f>
        <v>4</v>
      </c>
      <c r="AW138" s="19">
        <f>SUMIFS( E4:E1440, A4:A1440,"2018", D4:D1440,"Química de productos Naturales")</f>
        <v>4</v>
      </c>
      <c r="AX138" s="5">
        <f>SUMIFS( E4:E1440, A4:A1440,"2019", D4:D1440,"Química de productos Naturales")</f>
        <v>0</v>
      </c>
      <c r="AY138" s="5">
        <f>SUMIFS( E4:E1440, A4:A1440,"2020", D4:D1440,"Química de productos Naturales")</f>
        <v>4</v>
      </c>
      <c r="AZ138" s="5">
        <f>SUMIFS( E4:E1440, A4:A1440,"2021", D4:D1440,"Química de productos Naturales")</f>
        <v>2</v>
      </c>
      <c r="BA138" s="5">
        <f>SUMIFS( E4:E1440, A4:A1440,"2022", D4:D1440,"Química de productos Naturales")</f>
        <v>0</v>
      </c>
      <c r="BB138" s="19">
        <f>SUMIFS( E4:E1440, N4:N1440,"2018", D4:D1440,"Química de productos Naturales")</f>
        <v>4</v>
      </c>
      <c r="BC138" s="5">
        <f>SUMIFS( E4:E1440, N4:N1440,"2019", D4:D1440,"Química de productos Naturales")</f>
        <v>0</v>
      </c>
      <c r="BD138" s="5">
        <f>SUMIFS( E4:E1440, N4:N1440,"2020", D4:D1440,"Química de productos Naturales")</f>
        <v>0</v>
      </c>
      <c r="BE138" s="5">
        <f>SUMIFS( E4:E1440, N4:N1440,"2021", D4:D1440,"Química de productos Naturales")</f>
        <v>6</v>
      </c>
      <c r="BF138" s="5">
        <f>SUMIFS( E4:E1440, N4:N1440,"2022", D4:D1440,"Química de productos Naturales")</f>
        <v>0</v>
      </c>
      <c r="BG138" s="14">
        <f>AVERAGEIFS( E4:E1440, D4:D1440,"Química de productos Naturales")</f>
        <v>3.3333333333333335</v>
      </c>
      <c r="BH138" s="14">
        <v>0</v>
      </c>
      <c r="BI138" s="14">
        <v>0</v>
      </c>
      <c r="BJ138" s="14">
        <v>0</v>
      </c>
      <c r="BK138" s="14">
        <v>0</v>
      </c>
      <c r="BL138" s="37" t="e">
        <f>AVERAGEIFS( E4:E1440, A4:A1440,"2022", D4:D1440,"Química de productos Naturales")</f>
        <v>#DIV/0!</v>
      </c>
      <c r="BM138" s="14">
        <v>1</v>
      </c>
      <c r="BN138" s="14">
        <v>0</v>
      </c>
      <c r="BO138" s="14">
        <v>0</v>
      </c>
      <c r="BP138" s="14">
        <v>0</v>
      </c>
      <c r="BQ138" s="14">
        <v>0</v>
      </c>
      <c r="BR138" s="14">
        <v>1</v>
      </c>
    </row>
    <row r="139" spans="1:70" ht="15" customHeight="1">
      <c r="A139" s="24">
        <v>2018</v>
      </c>
      <c r="B139" s="24" t="s">
        <v>4</v>
      </c>
      <c r="C139" s="24" t="s">
        <v>18</v>
      </c>
      <c r="D139" s="24" t="s">
        <v>22</v>
      </c>
      <c r="E139" s="23">
        <v>33</v>
      </c>
      <c r="F139" s="24" t="s">
        <v>211</v>
      </c>
      <c r="G139" s="24" t="s">
        <v>225</v>
      </c>
      <c r="H139" s="23" t="s">
        <v>226</v>
      </c>
      <c r="I139" s="24" t="s">
        <v>225</v>
      </c>
      <c r="J139" s="23" t="s">
        <v>226</v>
      </c>
      <c r="K139" s="24" t="s">
        <v>226</v>
      </c>
      <c r="L139" s="23"/>
      <c r="M139" s="26" t="s">
        <v>297</v>
      </c>
      <c r="N139" s="24">
        <v>2019</v>
      </c>
      <c r="O139" s="40" t="s">
        <v>68</v>
      </c>
      <c r="P139" s="41"/>
      <c r="Q139" s="41"/>
      <c r="R139" s="41"/>
      <c r="S139" s="41"/>
      <c r="T139" s="42"/>
      <c r="U139" s="4">
        <f>COUNTIFS(   C4:C1440, "Tecnologías de la Información y la Comunicación" )</f>
        <v>83</v>
      </c>
      <c r="V139" s="4">
        <f>COUNTIFS(   C4:C1440,"Tecnologías de la información y la Comunicación",F4:F1440,"Hombre")</f>
        <v>67</v>
      </c>
      <c r="W139" s="4">
        <f>COUNTIFS(   C4:C1440,"Tecnologías de la información y la Comunicación",F4:F1440,"Mujer")</f>
        <v>16</v>
      </c>
      <c r="X139" s="18">
        <f>COUNTIFS(   A4:A1440,"2018", C4:C1440,"Tecnologías de la información y la Comunicación")</f>
        <v>24</v>
      </c>
      <c r="Y139" s="4">
        <f>COUNTIFS(   A4:A1440,"2019", C4:C1440,"Tecnologías de la información y la Comunicación")</f>
        <v>23</v>
      </c>
      <c r="Z139" s="4">
        <f>COUNTIFS(   A4:A1440,"2020", C4:C1440,"Tecnologías de la información y la Comunicación")</f>
        <v>14</v>
      </c>
      <c r="AA139" s="4">
        <f>COUNTIFS(   A4:A1440,"2021", C4:C1440,"Tecnologías de la información y la Comunicación")</f>
        <v>22</v>
      </c>
      <c r="AB139" s="4">
        <f>COUNTIFS(   A4:A1440,"2022", C4:C1440,"Tecnologías de la información y la Comunicación")</f>
        <v>0</v>
      </c>
      <c r="AC139" s="18">
        <f>COUNTIFS(   N4:N1440,"2018", C4:C1440,"Tecnologías de la información y la Comunicación")</f>
        <v>11</v>
      </c>
      <c r="AD139" s="4">
        <f>COUNTIFS(   N4:N1440,"2019", C4:C1440,"Tecnologías de la información y la Comunicación")</f>
        <v>24</v>
      </c>
      <c r="AE139" s="4">
        <f>COUNTIFS(   N4:N1440,"2020", C4:C1440,"Tecnologías de la información y la Comunicación")</f>
        <v>16</v>
      </c>
      <c r="AF139" s="4">
        <f>COUNTIFS(   N4:N1440,"2021", C4:C1440,"Tecnologías de la información y la Comunicación")</f>
        <v>17</v>
      </c>
      <c r="AG139" s="4">
        <f>COUNTIFS(   N4:N1440,"2022", C4:C1440,"Tecnologías de la información y la Comunicación")</f>
        <v>15</v>
      </c>
      <c r="AH139" s="4">
        <f>COUNTIFS(   C4:C1440,"Tecnologías de la información y la Comunicación",G4:G1440,"Sí")</f>
        <v>4</v>
      </c>
      <c r="AI139" s="4">
        <f>COUNTIFS(   C4:C1440,"Tecnologías de la información y la Comunicación",G4:G1440,"No")</f>
        <v>79</v>
      </c>
      <c r="AJ139" s="4">
        <f>SUMIFS( E4:E1440, C4:C1440,"Tecnologías de la información y la Comunicación",G4:G1440,"Sí")</f>
        <v>23</v>
      </c>
      <c r="AK139" s="4">
        <f>SUMIFS( E4:E1440, C4:C1440,"Tecnologías de la información y la Comunicación",G4:G1440,"No")</f>
        <v>623</v>
      </c>
      <c r="AL139" s="4">
        <f>COUNTIFS(   C4:C1440,"Tecnologías de la información y la Comunicación",H4:H1440,"Sí")</f>
        <v>68</v>
      </c>
      <c r="AM139" s="4">
        <f>COUNTIFS(   C4:C1440,"Tecnologías de la información y la Comunicación",I4:I1440,"Sí")</f>
        <v>38</v>
      </c>
      <c r="AN139" s="4">
        <f>COUNTIFS(   C4:C1440,"Tecnologías de la información y la Comunicación",I4:I1440,"No")</f>
        <v>45</v>
      </c>
      <c r="AO139" s="4">
        <f>SUMIFS( E4:E1440, C4:C1440,"Tecnologías de la información y la Comunicación",I4:I1440,"Sí")</f>
        <v>187</v>
      </c>
      <c r="AP139" s="4">
        <f>SUMIFS( E4:E1440, C4:C1440,"Tecnologías de la información y la Comunicación",I4:I1440,"No")</f>
        <v>459</v>
      </c>
      <c r="AQ139" s="4">
        <f>COUNTIFS(   C4:C1440,"Tecnologías de la información y la Comunicación",J4:J1440,"Sí")</f>
        <v>83</v>
      </c>
      <c r="AR139" s="4">
        <f>COUNTIFS(   C4:C1440,"Tecnologías de la información y la Comunicación",K4:K1440,"Sí")</f>
        <v>36</v>
      </c>
      <c r="AS139" s="4">
        <f>COUNTIFS(   C4:C1440,"Tecnologías de la información y la Comunicación",L4:L1440,"Sí")</f>
        <v>0</v>
      </c>
      <c r="AT139" s="4">
        <f>SUMIFS( E4:E1440, C4:C1440,"Tecnologías de la información y la Comunicación")</f>
        <v>646</v>
      </c>
      <c r="AU139" s="4">
        <f>SUMIFS( E4:E1440, F4:F1440,"Hombre", C4:C1440,"Tecnologías de la información y la Comunicación")</f>
        <v>354</v>
      </c>
      <c r="AV139" s="4">
        <f>SUMIFS( E4:E1440, F4:F1440,"Mujer", C4:C1440,"Tecnologías de la información y la Comunicación")</f>
        <v>292</v>
      </c>
      <c r="AW139" s="18">
        <f>SUMIFS( E4:E1440, A4:A1440,"2018", C4:C1440,"Tecnologías de la información y la Comunicación")</f>
        <v>361</v>
      </c>
      <c r="AX139" s="4">
        <f>SUMIFS( E4:E1440, A4:A1440,"2019", C4:C1440,"Tecnologías de la información y la Comunicación")</f>
        <v>97</v>
      </c>
      <c r="AY139" s="4">
        <f>SUMIFS( E4:E1440, A4:A1440,"2020", C4:C1440,"Tecnologías de la información y la Comunicación")</f>
        <v>84</v>
      </c>
      <c r="AZ139" s="4">
        <f>SUMIFS( E4:E1440, A4:A1440,"2021", C4:C1440,"Tecnologías de la información y la Comunicación")</f>
        <v>104</v>
      </c>
      <c r="BA139" s="4">
        <f>SUMIFS( E4:E1440, A4:A1440,"2022", C4:C1440,"Tecnologías de la información y la Comunicación")</f>
        <v>0</v>
      </c>
      <c r="BB139" s="18">
        <f>SUMIFS( E4:E1440, N4:N1440,"2018", C4:C1440,"Tecnologías de la información y la Comunicación")</f>
        <v>328</v>
      </c>
      <c r="BC139" s="4">
        <f>SUMIFS( E4:E1440, N4:N1440,"2019", C4:C1440,"Tecnologías de la información y la Comunicación")</f>
        <v>92</v>
      </c>
      <c r="BD139" s="4">
        <f>SUMIFS( E4:E1440, N4:N1440,"2020", C4:C1440,"Tecnologías de la información y la Comunicación")</f>
        <v>47</v>
      </c>
      <c r="BE139" s="4">
        <f>SUMIFS( E4:E1440, N4:N1440,"2021", C4:C1440,"Tecnologías de la información y la Comunicación")</f>
        <v>102</v>
      </c>
      <c r="BF139" s="4">
        <f>SUMIFS( E4:E1440, N4:N1440,"2022", C4:C1440,"Tecnologías de la información y la Comunicación")</f>
        <v>77</v>
      </c>
      <c r="BG139" s="13">
        <f>AVERAGEIFS( E4:E1440, C4:C1440,"Tecnologías de la información y la Comunicación")</f>
        <v>9.5</v>
      </c>
      <c r="BH139" s="13">
        <v>0</v>
      </c>
      <c r="BI139" s="13">
        <f>AVERAGEIFS( E4:E1440, A4:A1440,"2019", C4:C1440,"Tecnologías de la información y la Comunicación")</f>
        <v>5.7058823529411766</v>
      </c>
      <c r="BJ139" s="13">
        <f>AVERAGEIFS( E4:E1440, A4:A1440,"2020", C4:C1440,"Tecnologías de la información y la Comunicación")</f>
        <v>7</v>
      </c>
      <c r="BK139" s="13">
        <f>AVERAGEIFS( E4:E1440, A4:A1440,"2021", C4:C1440,"Tecnologías de la información y la Comunicación")</f>
        <v>4.9523809523809526</v>
      </c>
      <c r="BL139" s="37" t="e">
        <f>AVERAGEIFS( E4:E1440, A4:A1440,"2022", C4:C1440,"Tecnologías de la información y la Comunicación")</f>
        <v>#DIV/0!</v>
      </c>
      <c r="BM139" s="13">
        <f>AVERAGE(AT140:AT157)</f>
        <v>35.5</v>
      </c>
      <c r="BN139" s="13">
        <v>0</v>
      </c>
      <c r="BO139" s="13">
        <f>AVERAGE(AX140:AX157)</f>
        <v>5.3888888888888893</v>
      </c>
      <c r="BP139" s="13">
        <f>AVERAGE(AY140:AY157)</f>
        <v>4.2777777777777777</v>
      </c>
      <c r="BQ139" s="13">
        <f>AVERAGE(AZ140:AZ157)</f>
        <v>4.3888888888888893</v>
      </c>
      <c r="BR139" s="13">
        <f>AVERAGE(BA140:BA157)</f>
        <v>0</v>
      </c>
    </row>
    <row r="140" spans="1:70" ht="15" customHeight="1">
      <c r="A140" s="24">
        <v>2018</v>
      </c>
      <c r="B140" s="24" t="s">
        <v>136</v>
      </c>
      <c r="C140" s="24" t="s">
        <v>189</v>
      </c>
      <c r="D140" s="24" t="s">
        <v>298</v>
      </c>
      <c r="E140" s="23">
        <v>1</v>
      </c>
      <c r="F140" s="24" t="s">
        <v>211</v>
      </c>
      <c r="G140" s="24" t="s">
        <v>225</v>
      </c>
      <c r="H140" s="23" t="s">
        <v>226</v>
      </c>
      <c r="I140" s="24" t="s">
        <v>226</v>
      </c>
      <c r="J140" s="23" t="s">
        <v>226</v>
      </c>
      <c r="K140" s="24" t="s">
        <v>226</v>
      </c>
      <c r="L140" s="23"/>
      <c r="M140" s="26" t="s">
        <v>297</v>
      </c>
      <c r="N140" s="24">
        <v>2019</v>
      </c>
      <c r="O140" s="67" t="s">
        <v>133</v>
      </c>
      <c r="P140" s="68"/>
      <c r="Q140" s="68"/>
      <c r="R140" s="68"/>
      <c r="S140" s="68"/>
      <c r="T140" s="69"/>
      <c r="U140" s="5">
        <f>COUNTIFS(   D4:D1440,"Aplicaciones de las TIC: Salud-Bienestar social, Medio ambiente-Energía y Agroalimentarias")</f>
        <v>3</v>
      </c>
      <c r="V140" s="5">
        <f>COUNTIFS(   D4:D1440,"Aplicaciones de las TIC: Salud-Bienestar social, Medio ambiente-Energía y Agroalimentarias",F4:F1440,"Hombre")</f>
        <v>2</v>
      </c>
      <c r="W140" s="5">
        <f>COUNTIFS(   D4:D1440,"Aplicaciones de las TIC: Salud-Bienestar social, Medio ambiente-Energía y Agroalimentarias",F4:F1440,"Mujer")</f>
        <v>1</v>
      </c>
      <c r="X140" s="19">
        <f>COUNTIFS(   A4:A1440,"2018", D4:D1440,"Aplicaciones de las TIC: Salud-Bienestar social, Medio ambiente-Energía y Agroalimentarias")</f>
        <v>1</v>
      </c>
      <c r="Y140" s="5">
        <f>COUNTIFS(   A4:A1440,"2019", D4:D1440,"Aplicaciones de las TIC: Salud-Bienestar social, Medio ambiente-Energía y Agroalimentarias")</f>
        <v>0</v>
      </c>
      <c r="Z140" s="5">
        <f>COUNTIFS(   A4:A1440,"2020", D4:D1440,"Aplicaciones de las TIC: Salud-Bienestar social, Medio ambiente-Energía y Agroalimentarias")</f>
        <v>1</v>
      </c>
      <c r="AA140" s="5">
        <f>COUNTIFS(   A4:A1440,"2021", D4:D1440,"Aplicaciones de las TIC: Salud-Bienestar social, Medio ambiente-Energía y Agroalimentarias")</f>
        <v>1</v>
      </c>
      <c r="AB140" s="5">
        <f>COUNTIFS(  A4:A1440,"2022", D4:D1440,"Aplicaciones de las TIC: Salud-Bienestar social, Medio ambiente-Energía y Agroalimentarias")</f>
        <v>0</v>
      </c>
      <c r="AC140" s="19">
        <f>COUNTIFS(   N4:N1440,"2018", D4:D1440,"Aplicaciones de las TIC: Salud-Bienestar social, Medio ambiente-Energía y Agroalimentarias")</f>
        <v>0</v>
      </c>
      <c r="AD140" s="5">
        <f>COUNTIFS(   N4:N1440,"2019", D4:D1440,"Aplicaciones de las TIC: Salud-Bienestar social, Medio ambiente-Energía y Agroalimentarias")</f>
        <v>1</v>
      </c>
      <c r="AE140" s="5">
        <f>COUNTIFS(   N4:N1440,"2020", D4:D1440,"Aplicaciones de las TIC: Salud-Bienestar social, Medio ambiente-Energía y Agroalimentarias")</f>
        <v>1</v>
      </c>
      <c r="AF140" s="5">
        <f>COUNTIFS(   N4:N1440,"2021", D4:D1440,"Aplicaciones de las TIC: Salud-Bienestar social, Medio ambiente-Energía y Agroalimentarias")</f>
        <v>1</v>
      </c>
      <c r="AG140" s="5">
        <f>COUNTIFS(   N4:N1440,"2022", D4:D1440,"Aplicaciones de las TIC: Salud-Bienestar social, Medio ambiente-Energía y Agroalimentarias")</f>
        <v>0</v>
      </c>
      <c r="AH140" s="5">
        <f>COUNTIFS(   D4:D1440,"Aplicaciones de las TIC: Salud-Bienestar social, Medio ambiente-Energía y Agroalimentarias",G4:G1440,"Sí")</f>
        <v>0</v>
      </c>
      <c r="AI140" s="5">
        <f>COUNTIFS(   D4:D1440,"Aplicaciones de las TIC: Salud-Bienestar social, Medio ambiente-Energía y Agroalimentarias",G4:G1440,"No")</f>
        <v>3</v>
      </c>
      <c r="AJ140" s="5">
        <f>SUMIFS( E4:E1440, D4:D1440,"Aplicaciones de las TIC: Salud-Bienestar social, Medio ambiente-Energía y Agroalimentarias",G4:G1440,"Sí")</f>
        <v>0</v>
      </c>
      <c r="AK140" s="5">
        <f>SUMIFS( E4:E1440, D4:D1440,"Aplicaciones de las TIC: Salud-Bienestar social, Medio ambiente-Energía y Agroalimentarias",G4:G1440,"No")</f>
        <v>1</v>
      </c>
      <c r="AL140" s="5">
        <f>COUNTIFS(   D4:D1440,"Aplicaciones de las TIC: Salud-Bienestar social, Medio ambiente-Energía y Agroalimentarias",H4:H1440,"Sí")</f>
        <v>1</v>
      </c>
      <c r="AM140" s="5">
        <f>COUNTIFS(   D4:D1440,"Aplicaciones de las TIC: Salud-Bienestar social, Medio ambiente-Energía y Agroalimentarias",I4:I1440,"Sí")</f>
        <v>0</v>
      </c>
      <c r="AN140" s="5">
        <f>COUNTIFS(   D4:D1440,"Aplicaciones de las TIC: Salud-Bienestar social, Medio ambiente-Energía y Agroalimentarias",I4:I1440,"No")</f>
        <v>3</v>
      </c>
      <c r="AO140" s="5">
        <f>SUMIFS( E4:E1440, D4:D1440,"Aplicaciones de las TIC: Salud-Bienestar social, Medio ambiente-Energía y Agroalimentarias",I4:I1440,"Sí")</f>
        <v>0</v>
      </c>
      <c r="AP140" s="5">
        <f>SUMIFS( E4:E1440, D4:D1440,"Aplicaciones de las TIC: Salud-Bienestar social, Medio ambiente-Energía y Agroalimentarias",I4:I1440,"No")</f>
        <v>1</v>
      </c>
      <c r="AQ140" s="5">
        <f>COUNTIFS(   D4:D1440,"Aplicaciones de las TIC: Salud-Bienestar social, Medio ambiente-Energía y Agroalimentarias",J4:J1440,"Sí")</f>
        <v>3</v>
      </c>
      <c r="AR140" s="5">
        <f>COUNTIFS(   D4:D1440,"Aplicaciones de las TIC: Salud-Bienestar social, Medio ambiente-Energía y Agroalimentarias",K4:K1440,"Sí")</f>
        <v>1</v>
      </c>
      <c r="AS140" s="5">
        <f>COUNTIFS(   D4:D1440,"Aplicaciones de las TIC: Salud-Bienestar social, Medio ambiente-Energía y Agroalimentarias",L4:L1440,"Sí")</f>
        <v>0</v>
      </c>
      <c r="AT140" s="5">
        <f>SUMIFS( E4:E1440, D4:D1440,"Aplicaciones de las TIC: Salud-Bienestar social, Medio ambiente-Energía y Agroalimentarias")</f>
        <v>1</v>
      </c>
      <c r="AU140" s="5">
        <f>SUMIFS( E4:E1440, F4:F1440,"Hombre", D4:D1440,"Aplicaciones de las TIC: Salud-Bienestar social, Medio ambiente-Energía y Agroalimentarias")</f>
        <v>1</v>
      </c>
      <c r="AV140" s="5">
        <f>SUMIFS( E4:E1440, F4:F1440,"Mujer", D4:D1440,"Aplicaciones de las TIC: Salud-Bienestar social, Medio ambiente-Energía y Agroalimentarias")</f>
        <v>0</v>
      </c>
      <c r="AW140" s="19">
        <f>SUMIFS( E4:E1440, A4:A1440,"2018", D4:D1440,"Aplicaciones de las TIC: Salud-Bienestar social, Medio ambiente-Energía y Agroalimentarias")</f>
        <v>0</v>
      </c>
      <c r="AX140" s="5">
        <f>SUMIFS( E4:E1440, A4:A1440,"2019", D4:D1440,"Aplicaciones de las TIC: Salud-Bienestar social, Medio ambiente-Energía y Agroalimentarias")</f>
        <v>0</v>
      </c>
      <c r="AY140" s="5">
        <f>SUMIFS( E4:E1440, A4:A1440,"2020", D4:D1440,"Aplicaciones de las TIC: Salud-Bienestar social, Medio ambiente-Energía y Agroalimentarias")</f>
        <v>1</v>
      </c>
      <c r="AZ140" s="5">
        <f>SUMIFS( E4:E1440, A4:A1440,"2021", D4:D1440,"Aplicaciones de las TIC: Salud-Bienestar social, Medio ambiente-Energía y Agroalimentarias")</f>
        <v>0</v>
      </c>
      <c r="BA140" s="5">
        <f>SUMIFS( E4:E1440, A4:A1440,"2022", D4:D1440,"Aplicaciones de las TIC: Salud-Bienestar social, Medio ambiente-Energía y Agroalimentarias")</f>
        <v>0</v>
      </c>
      <c r="BB140" s="19">
        <f>SUMIFS( E4:E1440, N4:N1440,"2018", D4:D1440,"Aplicaciones de las TIC: Salud-Bienestar social, Medio ambiente-Energía y Agroalimentarias")</f>
        <v>0</v>
      </c>
      <c r="BC140" s="5">
        <f>SUMIFS( E4:E1440, N4:N1440,"2019", D4:D1440,"Aplicaciones de las TIC: Salud-Bienestar social, Medio ambiente-Energía y Agroalimentarias")</f>
        <v>0</v>
      </c>
      <c r="BD140" s="5">
        <f>SUMIFS( E4:E1440, N4:N1440,"2020", D4:D1440,"Aplicaciones de las TIC: Salud-Bienestar social, Medio ambiente-Energía y Agroalimentarias")</f>
        <v>1</v>
      </c>
      <c r="BE140" s="5">
        <f>SUMIFS( E4:E1440, N4:N1440,"2021", D4:D1440,"Aplicaciones de las TIC: Salud-Bienestar social, Medio ambiente-Energía y Agroalimentarias")</f>
        <v>0</v>
      </c>
      <c r="BF140" s="5">
        <f>SUMIFS( E4:E1440, N4:N1440,"2022", D4:D1440,"Aplicaciones de las TIC: Salud-Bienestar social, Medio ambiente-Energía y Agroalimentarias")</f>
        <v>0</v>
      </c>
      <c r="BG140" s="14">
        <f>AVERAGEIFS( E4:E1440, D4:D1440,"Aplicaciones de las TIC: Salud-Bienestar social, Medio ambiente-Energía y Agroalimentarias")</f>
        <v>1</v>
      </c>
      <c r="BH140" s="14">
        <v>0</v>
      </c>
      <c r="BI140" s="14">
        <v>0</v>
      </c>
      <c r="BJ140" s="14">
        <v>0</v>
      </c>
      <c r="BK140" s="14" t="e">
        <f>AVERAGEIFS( E4:E1440, A4:A1440,"2021", D4:D1440,"Aplicaciones de las TIC: Salud-Bienestar social, Medio ambiente-Energía y Agroalimentarias")</f>
        <v>#DIV/0!</v>
      </c>
      <c r="BL140" s="37">
        <v>0</v>
      </c>
      <c r="BM140" s="14">
        <v>25</v>
      </c>
      <c r="BN140" s="14">
        <v>0</v>
      </c>
      <c r="BO140" s="14">
        <v>0</v>
      </c>
      <c r="BP140" s="14">
        <v>0</v>
      </c>
      <c r="BQ140" s="14">
        <v>25</v>
      </c>
      <c r="BR140" s="14">
        <v>0</v>
      </c>
    </row>
    <row r="141" spans="1:70" ht="15" customHeight="1">
      <c r="A141" s="24">
        <v>2018</v>
      </c>
      <c r="B141" s="24" t="s">
        <v>4</v>
      </c>
      <c r="C141" s="24" t="s">
        <v>5</v>
      </c>
      <c r="D141" s="24" t="s">
        <v>9</v>
      </c>
      <c r="E141" s="23">
        <v>7</v>
      </c>
      <c r="F141" s="24" t="s">
        <v>207</v>
      </c>
      <c r="G141" s="24" t="s">
        <v>225</v>
      </c>
      <c r="H141" s="23" t="s">
        <v>226</v>
      </c>
      <c r="I141" s="24" t="s">
        <v>225</v>
      </c>
      <c r="J141" s="23" t="s">
        <v>226</v>
      </c>
      <c r="K141" s="24" t="s">
        <v>226</v>
      </c>
      <c r="L141" s="23"/>
      <c r="M141" s="26" t="s">
        <v>297</v>
      </c>
      <c r="N141" s="24">
        <v>2019</v>
      </c>
      <c r="O141" s="67" t="s">
        <v>135</v>
      </c>
      <c r="P141" s="68"/>
      <c r="Q141" s="68"/>
      <c r="R141" s="68"/>
      <c r="S141" s="68"/>
      <c r="T141" s="69"/>
      <c r="U141" s="5">
        <f>COUNTIFS(   D4:D1440,"Bioinformática")</f>
        <v>2</v>
      </c>
      <c r="V141" s="5">
        <f>COUNTIFS(   D4:D1440,"Bioinformática",F4:F1440,"Hombre")</f>
        <v>2</v>
      </c>
      <c r="W141" s="5">
        <f>COUNTIFS(   D4:D1440,"Bioinformática",F4:F1440,"Mujer")</f>
        <v>0</v>
      </c>
      <c r="X141" s="19">
        <f>COUNTIFS(   A4:A1440,"2018", D4:D1440,"Bioinformática")</f>
        <v>1</v>
      </c>
      <c r="Y141" s="5">
        <f>COUNTIFS(   A4:A1440,"2019", D4:D1440,"Bioinformática")</f>
        <v>1</v>
      </c>
      <c r="Z141" s="5">
        <f>COUNTIFS(   A4:A1440,"2020", D4:D1440,"Bioinformática")</f>
        <v>0</v>
      </c>
      <c r="AA141" s="5">
        <f>COUNTIFS(   A4:A1440,"2021", D4:D1440,"Bioinformática")</f>
        <v>0</v>
      </c>
      <c r="AB141" s="5">
        <f>COUNTIFS(  A4:A1440,"2022", D4:D1440,"Bioinformática")</f>
        <v>0</v>
      </c>
      <c r="AC141" s="19">
        <f>COUNTIFS(   N4:N1440,"2018", D4:D1440,"Bioinformática")</f>
        <v>0</v>
      </c>
      <c r="AD141" s="5">
        <f>COUNTIFS(   N4:N1440,"2019", D4:D1440,"Bioinformática")</f>
        <v>1</v>
      </c>
      <c r="AE141" s="5">
        <f>COUNTIFS(   N4:N1440,"2020", D4:D1440,"Bioinformática")</f>
        <v>1</v>
      </c>
      <c r="AF141" s="5">
        <f>COUNTIFS(   N4:N1440,"2021", D4:D1440,"Bioinformática")</f>
        <v>0</v>
      </c>
      <c r="AG141" s="5">
        <f>COUNTIFS(   N4:N1440,"2022", D4:D1440,"Bioinformática")</f>
        <v>0</v>
      </c>
      <c r="AH141" s="5">
        <f>COUNTIFS(   D4:D1440,"Bioinformática",G4:G1440,"Sí")</f>
        <v>0</v>
      </c>
      <c r="AI141" s="5">
        <f>COUNTIFS(   D4:D1440,"Bioinformática",G4:G1440,"No")</f>
        <v>2</v>
      </c>
      <c r="AJ141" s="5">
        <f>SUMIFS( E4:E1440, D4:D1440,"Bioinformática",G4:G1440,"Sí")</f>
        <v>0</v>
      </c>
      <c r="AK141" s="5">
        <f>SUMIFS( E4:E1440, D4:D1440,"Bioinformática",G4:G1440,"No")</f>
        <v>7</v>
      </c>
      <c r="AL141" s="5">
        <f>COUNTIFS(   D4:D1440,"Bioinformática",H4:H1440,"Sí")</f>
        <v>1</v>
      </c>
      <c r="AM141" s="5">
        <f>COUNTIFS(   D4:D1440,"Bioinformática",I4:I1440,"Sí")</f>
        <v>1</v>
      </c>
      <c r="AN141" s="5">
        <f>COUNTIFS(   D4:D1440,"Bioinformática",I4:I1440,"No")</f>
        <v>1</v>
      </c>
      <c r="AO141" s="5">
        <f>SUMIFS( E4:E1440, D4:D1440,"Bioinformática",I4:I1440,"Sí")</f>
        <v>0</v>
      </c>
      <c r="AP141" s="5">
        <f>SUMIFS( E4:E1440, D4:D1440,"Bioinformática",I4:I1440,"No")</f>
        <v>7</v>
      </c>
      <c r="AQ141" s="5">
        <f>COUNTIFS(   D4:D1440,"Bioinformática",J4:J1440,"Sí")</f>
        <v>2</v>
      </c>
      <c r="AR141" s="5">
        <f>COUNTIFS(   D4:D1440,"Bioinformática",K4:K1440,"Sí")</f>
        <v>1</v>
      </c>
      <c r="AS141" s="5">
        <f>COUNTIFS(   D4:D1440,"Bioinformática",L4:L1440,"Sí")</f>
        <v>0</v>
      </c>
      <c r="AT141" s="5">
        <f>SUMIFS( E4:E1440, D4:D1440,"Bioinformática")</f>
        <v>7</v>
      </c>
      <c r="AU141" s="5">
        <f>SUMIFS( E4:E1440, F4:F1440,"Hombre", D4:D1440,"Bioinformática")</f>
        <v>7</v>
      </c>
      <c r="AV141" s="5">
        <f>SUMIFS( E4:E1440, F4:F1440,"Mujer", D4:D1440,"Bioinformática")</f>
        <v>0</v>
      </c>
      <c r="AW141" s="19">
        <f>SUMIFS( E4:E1440, A4:A1440,"2018", D4:D1440,"Bioinformática")</f>
        <v>0</v>
      </c>
      <c r="AX141" s="5">
        <f>SUMIFS( E4:E1440, A4:A1440,"2019", D4:D1440,"Bioinformática")</f>
        <v>7</v>
      </c>
      <c r="AY141" s="5">
        <f>SUMIFS( E4:E1440, A4:A1440,"2020", D4:D1440,"Bioinformática")</f>
        <v>0</v>
      </c>
      <c r="AZ141" s="5">
        <f>SUMIFS( E4:E1440, A4:A1440,"2021", D4:D1440,"Bioinformática")</f>
        <v>0</v>
      </c>
      <c r="BA141" s="5">
        <f>SUMIFS( E4:E1440, A4:A1440,"2022", D4:D1440,"Bioinformática")</f>
        <v>0</v>
      </c>
      <c r="BB141" s="19">
        <f>SUMIFS( E4:E1440, N4:N1440,"2018", D4:D1440,"Bioinformática")</f>
        <v>0</v>
      </c>
      <c r="BC141" s="5">
        <f>SUMIFS( E4:E1440, N4:N1440,"2019", D4:D1440,"Bioinformática")</f>
        <v>0</v>
      </c>
      <c r="BD141" s="5">
        <f>SUMIFS( E4:E1440, N4:N1440,"2020", D4:D1440,"Bioinformática")</f>
        <v>7</v>
      </c>
      <c r="BE141" s="5">
        <f>SUMIFS( E4:E1440, N4:N1440,"2021", D4:D1440,"Bioinformática")</f>
        <v>0</v>
      </c>
      <c r="BF141" s="5">
        <f>SUMIFS( E4:E1440, N4:N1440,"2022", D4:D1440,"Bioinformática")</f>
        <v>0</v>
      </c>
      <c r="BG141" s="14">
        <f>AVERAGEIFS( E4:E1440, D4:D1440,"Bioinformática")</f>
        <v>7</v>
      </c>
      <c r="BH141" s="14">
        <v>0</v>
      </c>
      <c r="BI141" s="14">
        <f>AVERAGEIFS( E4:E1440, A4:A1440,"2019", D4:D1440,"Bioinformática")</f>
        <v>7</v>
      </c>
      <c r="BJ141" s="14">
        <v>0</v>
      </c>
      <c r="BK141" s="14">
        <v>0</v>
      </c>
      <c r="BL141" s="37">
        <v>0</v>
      </c>
      <c r="BM141" s="14">
        <v>16</v>
      </c>
      <c r="BN141" s="14">
        <v>0</v>
      </c>
      <c r="BO141" s="14">
        <v>16</v>
      </c>
      <c r="BP141" s="14">
        <v>0</v>
      </c>
      <c r="BQ141" s="14">
        <v>0</v>
      </c>
      <c r="BR141" s="14">
        <v>0</v>
      </c>
    </row>
    <row r="142" spans="1:70">
      <c r="A142" s="24">
        <v>2018</v>
      </c>
      <c r="B142" s="24" t="s">
        <v>4</v>
      </c>
      <c r="C142" s="24" t="s">
        <v>23</v>
      </c>
      <c r="D142" s="24" t="s">
        <v>28</v>
      </c>
      <c r="E142" s="23">
        <v>25</v>
      </c>
      <c r="F142" s="24" t="s">
        <v>211</v>
      </c>
      <c r="G142" s="24" t="s">
        <v>225</v>
      </c>
      <c r="H142" s="23" t="s">
        <v>226</v>
      </c>
      <c r="I142" s="24" t="s">
        <v>226</v>
      </c>
      <c r="J142" s="23" t="s">
        <v>226</v>
      </c>
      <c r="K142" s="24" t="s">
        <v>226</v>
      </c>
      <c r="L142" s="23"/>
      <c r="M142" s="26" t="s">
        <v>299</v>
      </c>
      <c r="N142" s="24">
        <v>2019</v>
      </c>
      <c r="O142" s="67" t="s">
        <v>202</v>
      </c>
      <c r="P142" s="68"/>
      <c r="Q142" s="68"/>
      <c r="R142" s="68"/>
      <c r="S142" s="68"/>
      <c r="T142" s="69"/>
      <c r="U142" s="5">
        <f>COUNTIFS(   D4:D1440,"Especificación y Modelado de Sistemas. Desarrollo de Software")</f>
        <v>1</v>
      </c>
      <c r="V142" s="5">
        <f>COUNTIFS(   D4:D1440,"Especificación y Modelado de Sistemas. Desarrollo de Software",F4:F1440,"Hombre")</f>
        <v>0</v>
      </c>
      <c r="W142" s="5">
        <f>COUNTIFS(   D4:D1440,"Especificación y Modelado de Sistemas. Desarrollo de Software",F4:F1440,"Mujer")</f>
        <v>1</v>
      </c>
      <c r="X142" s="19">
        <v>0</v>
      </c>
      <c r="Y142" s="5">
        <v>0</v>
      </c>
      <c r="Z142" s="5">
        <v>0</v>
      </c>
      <c r="AA142" s="5">
        <v>0</v>
      </c>
      <c r="AB142" s="5">
        <v>0</v>
      </c>
      <c r="AC142" s="19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f>COUNTIFS(   D4:D1440,"Especificación y Modelado de Sistemas. Desarrollo de Software",G4:G1440,"Sí")</f>
        <v>0</v>
      </c>
      <c r="AI142" s="5">
        <f>COUNTIFS(   D4:D1440,"Especificación y Modelado de Sistemas. Desarrollo de Software",G4:G1440,"No")</f>
        <v>1</v>
      </c>
      <c r="AJ142" s="5">
        <f>SUMIFS( E4:E1440, D4:D1440,"Especificación y Modelado de Sistemas. Desarrollo de Software",G4:G1440,"Sí")</f>
        <v>0</v>
      </c>
      <c r="AK142" s="5">
        <f>SUMIFS( E4:E1440, D4:D1440,"Especificación y Modelado de Sistemas. Desarrollo de Software",G4:G1440,"No")</f>
        <v>2</v>
      </c>
      <c r="AL142" s="5">
        <f>COUNTIFS(   D4:D1440,"Especificación y Modelado de Sistemas. Desarrollo de Software",H4:H1440,"Sí")</f>
        <v>1</v>
      </c>
      <c r="AM142" s="5">
        <f>COUNTIFS(   D4:D1440,"Especificación y Modelado de Sistemas. Desarrollo de Software",I4:I1440,"Sí")</f>
        <v>1</v>
      </c>
      <c r="AN142" s="5">
        <f>COUNTIFS(   D4:D1440,"Especificación y Modelado de Sistemas. Desarrollo de Software",I4:I1440,"No")</f>
        <v>0</v>
      </c>
      <c r="AO142" s="5">
        <f>SUMIFS( E4:E1440, D4:D1440,"Especificación y Modelado de Sistemas. Desarrollo de Software",I4:I1440,"Sí")</f>
        <v>2</v>
      </c>
      <c r="AP142" s="5">
        <f>SUMIFS( E4:E1440, D4:D1440,"Especificación y Modelado de Sistemas. Desarrollo de Software",I4:I1440,"No")</f>
        <v>0</v>
      </c>
      <c r="AQ142" s="5">
        <f>COUNTIFS(   D4:D1440,"Especificación y Modelado de Sistemas. Desarrollo de Software",J4:J1440,"Sí")</f>
        <v>1</v>
      </c>
      <c r="AR142" s="5">
        <f>COUNTIFS(   D4:D1440,"Especificación y Modelado de Sistemas. Desarrollo de Software",K4:K1440,"Sí")</f>
        <v>0</v>
      </c>
      <c r="AS142" s="5">
        <f>COUNTIFS(   D4:D1440,"Especificación y Modelado de Sistemas. Desarrollo de Software",L4:L1440,"Sí")</f>
        <v>0</v>
      </c>
      <c r="AT142" s="5">
        <f>SUMIFS( E4:E1440, D4:D1440,"Especificación y Modelado de Sistemas. Desarrollo de Software")</f>
        <v>2</v>
      </c>
      <c r="AU142" s="5">
        <v>0</v>
      </c>
      <c r="AV142" s="5">
        <v>0</v>
      </c>
      <c r="AW142" s="19">
        <v>0</v>
      </c>
      <c r="AX142" s="5">
        <v>0</v>
      </c>
      <c r="AY142" s="5">
        <v>0</v>
      </c>
      <c r="AZ142" s="5">
        <v>0</v>
      </c>
      <c r="BA142" s="5">
        <v>0</v>
      </c>
      <c r="BB142" s="19">
        <v>0</v>
      </c>
      <c r="BC142" s="5">
        <v>0</v>
      </c>
      <c r="BD142" s="5">
        <v>0</v>
      </c>
      <c r="BE142" s="5">
        <v>0</v>
      </c>
      <c r="BF142" s="5">
        <v>0</v>
      </c>
      <c r="BG142" s="14">
        <f>AVERAGEIFS( E4:E1440, D4:D1440,"Especificación y Modelado de Sistemas. Desarrollo de Software")</f>
        <v>2</v>
      </c>
      <c r="BH142" s="14">
        <v>0</v>
      </c>
      <c r="BI142" s="14">
        <v>0</v>
      </c>
      <c r="BJ142" s="14">
        <v>0</v>
      </c>
      <c r="BK142" s="14">
        <v>0</v>
      </c>
      <c r="BL142" s="37">
        <v>0</v>
      </c>
      <c r="BM142" s="14">
        <v>0</v>
      </c>
      <c r="BN142" s="14">
        <v>0</v>
      </c>
      <c r="BO142" s="14">
        <v>0</v>
      </c>
      <c r="BP142" s="14">
        <v>0</v>
      </c>
      <c r="BQ142" s="14">
        <v>0</v>
      </c>
      <c r="BR142" s="14">
        <v>0</v>
      </c>
    </row>
    <row r="143" spans="1:70" ht="15" customHeight="1">
      <c r="A143" s="24">
        <v>2018</v>
      </c>
      <c r="B143" s="24" t="s">
        <v>136</v>
      </c>
      <c r="C143" s="24" t="s">
        <v>146</v>
      </c>
      <c r="D143" s="24" t="s">
        <v>150</v>
      </c>
      <c r="E143" s="23">
        <v>9</v>
      </c>
      <c r="F143" s="24" t="s">
        <v>207</v>
      </c>
      <c r="G143" s="24" t="s">
        <v>225</v>
      </c>
      <c r="H143" s="23" t="s">
        <v>226</v>
      </c>
      <c r="I143" s="24" t="s">
        <v>226</v>
      </c>
      <c r="J143" s="23" t="s">
        <v>226</v>
      </c>
      <c r="K143" s="24" t="s">
        <v>226</v>
      </c>
      <c r="L143" s="23"/>
      <c r="M143" s="26" t="s">
        <v>299</v>
      </c>
      <c r="N143" s="24">
        <v>2019</v>
      </c>
      <c r="O143" s="67" t="s">
        <v>200</v>
      </c>
      <c r="P143" s="68"/>
      <c r="Q143" s="68"/>
      <c r="R143" s="68"/>
      <c r="S143" s="68"/>
      <c r="T143" s="69"/>
      <c r="U143" s="5">
        <f>COUNTIFS(   D4:D1440,"Interacción Persona-Ordenador")</f>
        <v>2</v>
      </c>
      <c r="V143" s="5">
        <f>COUNTIFS(   D4:D1440,"Interacción Persona=CONTAR.SI.CONJUNTOOrdenador",F4:F1440,"Hombre")</f>
        <v>0</v>
      </c>
      <c r="W143" s="5">
        <f>COUNTIFS(   D4:D1440,"Interacción Persona=CONTAR.SI.CONJUNTOOrdenador",F4:F1440,"Mujer")</f>
        <v>0</v>
      </c>
      <c r="X143" s="19">
        <f>COUNTIFS(   A4:A1440,"2018", D4:D1440,"Interacción Persona-Ordenador")</f>
        <v>1</v>
      </c>
      <c r="Y143" s="5">
        <f>COUNTIFS(   A4:A1440,"2019", D4:D1440,"Interacción Persona-Ordenador")</f>
        <v>0</v>
      </c>
      <c r="Z143" s="5">
        <f>COUNTIFS(   A4:A1440,"2020", D4:D1440,"Interacción Persona-Ordenador")</f>
        <v>0</v>
      </c>
      <c r="AA143" s="5">
        <f>COUNTIFS(   A4:A1440,"2021", D4:D1440,"Interacción Persona-Ordenador")</f>
        <v>1</v>
      </c>
      <c r="AB143" s="5">
        <f>COUNTIFS(  A4:A1440,"2022", D4:D1440,"Interacción Persona-Ordenador")</f>
        <v>0</v>
      </c>
      <c r="AC143" s="19">
        <f>COUNTIFS(   N4:N1440,"2018", D4:D1440,"Interacción Persona-Ordenador")</f>
        <v>0</v>
      </c>
      <c r="AD143" s="5">
        <f>COUNTIFS(   N4:N1440,"2019", D4:D1440,"Interacción Persona-Ordenador")</f>
        <v>1</v>
      </c>
      <c r="AE143" s="5">
        <f>COUNTIFS(   N4:N1440,"2020", D4:D1440,"Interacción Persona-Ordenador")</f>
        <v>0</v>
      </c>
      <c r="AF143" s="5">
        <f>COUNTIFS(   N4:N1440,"2021", D4:D1440,"Interacción Persona-Ordenador")</f>
        <v>0</v>
      </c>
      <c r="AG143" s="5">
        <f>COUNTIFS(   N4:N1440,"2022", D4:D1440,"Interacción Persona-Ordenador")</f>
        <v>1</v>
      </c>
      <c r="AH143" s="5">
        <f>COUNTIFS(   D4:D1440,"Interacción Persona=CONTAR.SI.CONJUNTOOrdenador",G4:G1440,"Sí")</f>
        <v>0</v>
      </c>
      <c r="AI143" s="5">
        <f>COUNTIFS(   D4:D1440,"Interacción Persona=CONTAR.SI.CONJUNTOOrdenador",G4:G1440,"No")</f>
        <v>0</v>
      </c>
      <c r="AJ143" s="5">
        <f>SUMIFS( E4:E1440, D4:D1440,"Interacción Persona-Ordenador",G4:G1440,"Sí")</f>
        <v>14</v>
      </c>
      <c r="AK143" s="5">
        <f>SUMIFS( E4:E1440, D4:D1440,"Interacción Persona-Ordenador",G4:G1440,"No")</f>
        <v>6</v>
      </c>
      <c r="AL143" s="5">
        <f>COUNTIFS(   D4:D1440,"Interacción Persona=CONTAR.SI.CONJUNTOOrdenador",H4:H1440,"Sí")</f>
        <v>0</v>
      </c>
      <c r="AM143" s="5">
        <f>COUNTIFS(   D4:D1440,"Interacción Persona=CONTAR.SI.CONJUNTOOrdenador",I4:I1440,"Sí")</f>
        <v>0</v>
      </c>
      <c r="AN143" s="5">
        <f>COUNTIFS(   D4:D1440,"Interacción Persona=CONTAR.SI.CONJUNTOOrdenador",I4:I1440,"No")</f>
        <v>0</v>
      </c>
      <c r="AO143" s="5">
        <f>SUMIFS( E4:E1440, D4:D1440,"Interacción Persona-Ordenador",I4:I1440,"Sí")</f>
        <v>0</v>
      </c>
      <c r="AP143" s="5">
        <f>SUMIFS( E4:E1440, D4:D1440,"Interacción Persona-Ordenador",I4:I1440,"No")</f>
        <v>20</v>
      </c>
      <c r="AQ143" s="5">
        <f>COUNTIFS(   D4:D1440,"Interacción Persona=CONTAR.SI.CONJUNTOOrdenador",J4:J1440,"Sí")</f>
        <v>0</v>
      </c>
      <c r="AR143" s="5">
        <f>COUNTIFS(   D4:D1440,"Interacción Persona=CONTAR.SI.CONJUNTOOrdenador",K4:K1440,"Sí")</f>
        <v>0</v>
      </c>
      <c r="AS143" s="5">
        <f>COUNTIFS(   D4:D1440,"Interacción Persona=CONTAR.SI.CONJUNTOOrdenador",L4:L1440,"Sí")</f>
        <v>0</v>
      </c>
      <c r="AT143" s="5">
        <f>SUMIFS( E4:E1440, D4:D1440,"Interacción Persona-Ordenador")</f>
        <v>20</v>
      </c>
      <c r="AU143" s="5">
        <f>SUMIFS( E4:E1440, F4:F1440,"Hombre", D4:D1440,"Interacción Persona-Ordenador")</f>
        <v>20</v>
      </c>
      <c r="AV143" s="5">
        <f>SUMIFS( E4:E1440, F4:F1440,"Mujer", D4:D1440,"Interacción Persona-Ordenador")</f>
        <v>0</v>
      </c>
      <c r="AW143" s="19">
        <f>SUMIFS( E4:E1440, A4:A1440,"2018", D4:D1440,"Interacción Persona-Ordenador")</f>
        <v>14</v>
      </c>
      <c r="AX143" s="5">
        <f>SUMIFS( E4:E1440, A4:A1440,"2019", D4:D1440,"Interacción Persona-Ordenador")</f>
        <v>0</v>
      </c>
      <c r="AY143" s="5">
        <f>SUMIFS( E4:E1440, A4:A1440,"2020", D4:D1440,"Interacción Persona-Ordenador")</f>
        <v>0</v>
      </c>
      <c r="AZ143" s="5">
        <f>SUMIFS( E4:E1440, A4:A1440,"2021", D4:D1440,"Interacción Persona-Ordenador")</f>
        <v>6</v>
      </c>
      <c r="BA143" s="5">
        <f>SUMIFS( E4:E1440, A4:A1440,"2022", D4:D1440,"Interacción Persona-Ordenador")</f>
        <v>0</v>
      </c>
      <c r="BB143" s="19">
        <f>SUMIFS( E4:E1440, N4:N1440,"2018", D4:D1440,"Interacción Persona-Ordenador")</f>
        <v>0</v>
      </c>
      <c r="BC143" s="5">
        <f>SUMIFS( E4:E1440, N4:N1440,"2019", D4:D1440,"Interacción Persona-Ordenador")</f>
        <v>14</v>
      </c>
      <c r="BD143" s="5">
        <f>SUMIFS( E4:E1440, N4:N1440,"2020", D4:D1440,"Interacción Persona-Ordenador")</f>
        <v>0</v>
      </c>
      <c r="BE143" s="5">
        <f>SUMIFS( E4:E1440, N4:N1440,"2021", D4:D1440,"Interacción Persona-Ordenador")</f>
        <v>0</v>
      </c>
      <c r="BF143" s="5">
        <f>SUMIFS( E4:E1440, N4:N1440,"2022", D4:D1440,"Interacción Persona-Ordenador")</f>
        <v>6</v>
      </c>
      <c r="BG143" s="14">
        <f>AVERAGEIFS( E4:E1440, D4:D1440,"Interacción Persona-Ordenador")</f>
        <v>10</v>
      </c>
      <c r="BH143" s="14">
        <v>0</v>
      </c>
      <c r="BI143" s="14">
        <v>0</v>
      </c>
      <c r="BJ143" s="14">
        <v>0</v>
      </c>
      <c r="BK143" s="14">
        <v>0</v>
      </c>
      <c r="BL143" s="37" t="e">
        <f>AVERAGEIFS( E4:E1440, A4:A1440,"2022", D4:D1440,"Interacción Persona-Ordenador")</f>
        <v>#DIV/0!</v>
      </c>
      <c r="BM143" s="14">
        <v>1</v>
      </c>
      <c r="BN143" s="14">
        <v>0</v>
      </c>
      <c r="BO143" s="14">
        <v>0</v>
      </c>
      <c r="BP143" s="14">
        <v>0</v>
      </c>
      <c r="BQ143" s="14">
        <v>0</v>
      </c>
      <c r="BR143" s="14">
        <v>1</v>
      </c>
    </row>
    <row r="144" spans="1:70" ht="15" customHeight="1">
      <c r="A144" s="24">
        <v>2018</v>
      </c>
      <c r="B144" s="24" t="s">
        <v>136</v>
      </c>
      <c r="C144" s="24" t="s">
        <v>176</v>
      </c>
      <c r="D144" s="24" t="s">
        <v>187</v>
      </c>
      <c r="E144" s="23"/>
      <c r="F144" s="24" t="s">
        <v>211</v>
      </c>
      <c r="G144" s="24" t="s">
        <v>225</v>
      </c>
      <c r="H144" s="23" t="s">
        <v>225</v>
      </c>
      <c r="I144" s="24" t="s">
        <v>225</v>
      </c>
      <c r="J144" s="23" t="s">
        <v>226</v>
      </c>
      <c r="K144" s="24" t="s">
        <v>226</v>
      </c>
      <c r="L144" s="23"/>
      <c r="M144" s="26" t="s">
        <v>300</v>
      </c>
      <c r="N144" s="24">
        <v>2019</v>
      </c>
      <c r="O144" s="67" t="s">
        <v>198</v>
      </c>
      <c r="P144" s="68"/>
      <c r="Q144" s="68"/>
      <c r="R144" s="68"/>
      <c r="S144" s="68"/>
      <c r="T144" s="69"/>
      <c r="U144" s="5">
        <f>COUNTIFS(   D4:D1440,"Minería de datos")</f>
        <v>16</v>
      </c>
      <c r="V144" s="5">
        <f>COUNTIFS(   D4:D1440,"Minería de datos",F4:F1440,"Hombre")</f>
        <v>12</v>
      </c>
      <c r="W144" s="5">
        <f>COUNTIFS(   D4:D1440,"Minería de datos",F4:F1440,"Mujer")</f>
        <v>4</v>
      </c>
      <c r="X144" s="19">
        <f>COUNTIFS(   A4:A1440,"2018", D4:D1440,"Minería de datos")</f>
        <v>3</v>
      </c>
      <c r="Y144" s="5">
        <f>COUNTIFS(   A4:A1440,"2019", D4:D1440,"Minería de datos")</f>
        <v>6</v>
      </c>
      <c r="Z144" s="5">
        <f>COUNTIFS(   A4:A1440,"2020", D4:D1440,"Minería de datos")</f>
        <v>4</v>
      </c>
      <c r="AA144" s="5">
        <f>COUNTIFS(   A4:A1440,"2021", D4:D1440,"Minería de datos")</f>
        <v>3</v>
      </c>
      <c r="AB144" s="5">
        <f>COUNTIFS(  A4:A1440,"2022", D4:D1440,"Minería de datos")</f>
        <v>0</v>
      </c>
      <c r="AC144" s="19">
        <f>COUNTIFS(   N4:N1440,"2018", D4:D1440,"Minería de datos")</f>
        <v>1</v>
      </c>
      <c r="AD144" s="5">
        <f>COUNTIFS(   N4:N1440,"2019", D4:D1440,"Minería de datos")</f>
        <v>4</v>
      </c>
      <c r="AE144" s="5">
        <f>COUNTIFS(   N4:N1440,"2020", D4:D1440,"Minería de datos")</f>
        <v>4</v>
      </c>
      <c r="AF144" s="5">
        <f>COUNTIFS(   N4:N1440,"2021", D4:D1440,"Minería de datos")</f>
        <v>5</v>
      </c>
      <c r="AG144" s="5">
        <f>COUNTIFS(   N4:N1440,"2022", D4:D1440,"Minería de datos")</f>
        <v>2</v>
      </c>
      <c r="AH144" s="5">
        <f>COUNTIFS(   D4:D1440,"Minería de datos",G4:G1440,"Sí")</f>
        <v>2</v>
      </c>
      <c r="AI144" s="5">
        <f>COUNTIFS(   D4:D1440,"Minería de datos",G4:G1440,"No")</f>
        <v>14</v>
      </c>
      <c r="AJ144" s="5">
        <f>SUMIFS( E4:E1440, D4:D1440,"Minería de datos",G4:G1440,"Sí")</f>
        <v>4</v>
      </c>
      <c r="AK144" s="5">
        <f>SUMIFS( E4:E1440, D4:D1440,"Minería de datos",G4:G1440,"No")</f>
        <v>63</v>
      </c>
      <c r="AL144" s="5">
        <f>COUNTIFS(   D4:D1440,"Minería de datos",H4:H1440,"Sí")</f>
        <v>13</v>
      </c>
      <c r="AM144" s="5">
        <f>COUNTIFS(   D4:D1440,"Minería de datos",I4:I1440,"Sí")</f>
        <v>10</v>
      </c>
      <c r="AN144" s="5">
        <f>COUNTIFS(   D4:D1440,"Minería de datos",I4:I1440,"No")</f>
        <v>6</v>
      </c>
      <c r="AO144" s="5">
        <f>SUMIFS( E4:E1440, D4:D1440,"Minería de datos",I4:I1440,"Sí")</f>
        <v>46</v>
      </c>
      <c r="AP144" s="5">
        <f>SUMIFS( E4:E1440, D4:D1440,"Minería de datos",I4:I1440,"No")</f>
        <v>21</v>
      </c>
      <c r="AQ144" s="5">
        <f>COUNTIFS(   D4:D1440,"Minería de datos",J4:J1440,"Sí")</f>
        <v>16</v>
      </c>
      <c r="AR144" s="5">
        <f>COUNTIFS(   D4:D1440,"Minería de datos",K4:K1440,"Sí")</f>
        <v>6</v>
      </c>
      <c r="AS144" s="5">
        <f>COUNTIFS(   D4:D1440,"Minería de datos",L4:L1440,"Sí")</f>
        <v>0</v>
      </c>
      <c r="AT144" s="5">
        <f>SUMIFS( E4:E1440, D4:D1440,"Minería de datos")</f>
        <v>67</v>
      </c>
      <c r="AU144" s="5">
        <f>SUMIFS( E4:E1440, F4:F1440,"Hombre", D4:D1440,"Minería de datos")</f>
        <v>60</v>
      </c>
      <c r="AV144" s="5">
        <f>SUMIFS( E4:E1440, F4:F1440,"Mujer", D4:D1440,"Minería de datos")</f>
        <v>7</v>
      </c>
      <c r="AW144" s="19">
        <f>SUMIFS( E4:E1440, A4:A1440,"2018", D4:D1440,"Minería de datos")</f>
        <v>16</v>
      </c>
      <c r="AX144" s="5">
        <f>SUMIFS( E4:E1440, A4:A1440,"2019", D4:D1440,"Minería de datos")</f>
        <v>23</v>
      </c>
      <c r="AY144" s="5">
        <f>SUMIFS( E4:E1440, A4:A1440,"2020", D4:D1440,"Minería de datos")</f>
        <v>17</v>
      </c>
      <c r="AZ144" s="5">
        <f>SUMIFS( E4:E1440, A4:A1440,"2021", D4:D1440,"Minería de datos")</f>
        <v>11</v>
      </c>
      <c r="BA144" s="5">
        <f>SUMIFS( E4:E1440, A4:A1440,"2022", D4:D1440,"Minería de datos")</f>
        <v>0</v>
      </c>
      <c r="BB144" s="19">
        <f>SUMIFS( E4:E1440, N4:N1440,"2018", D4:D1440,"Minería de datos")</f>
        <v>13</v>
      </c>
      <c r="BC144" s="5">
        <f>SUMIFS( E4:E1440, N4:N1440,"2019", D4:D1440,"Minería de datos")</f>
        <v>5</v>
      </c>
      <c r="BD144" s="5">
        <f>SUMIFS( E4:E1440, N4:N1440,"2020", D4:D1440,"Minería de datos")</f>
        <v>21</v>
      </c>
      <c r="BE144" s="5">
        <f>SUMIFS( E4:E1440, N4:N1440,"2021", D4:D1440,"Minería de datos")</f>
        <v>21</v>
      </c>
      <c r="BF144" s="5">
        <f>SUMIFS( E4:E1440, N4:N1440,"2022", D4:D1440,"Minería de datos")</f>
        <v>7</v>
      </c>
      <c r="BG144" s="14">
        <f>AVERAGEIFS( E4:E1440, D4:D1440,"Minería de datos")</f>
        <v>4.7857142857142856</v>
      </c>
      <c r="BH144" s="14">
        <v>0</v>
      </c>
      <c r="BI144" s="14">
        <v>0</v>
      </c>
      <c r="BJ144" s="14">
        <v>0</v>
      </c>
      <c r="BK144" s="14">
        <v>0</v>
      </c>
      <c r="BL144" s="37" t="e">
        <f>AVERAGEIFS( E4:E1440, A4:A1440,"2022", D4:D1440,"Minería de datos")</f>
        <v>#DIV/0!</v>
      </c>
      <c r="BM144" s="14">
        <v>1.5</v>
      </c>
      <c r="BN144" s="14">
        <v>0</v>
      </c>
      <c r="BO144" s="14">
        <v>0</v>
      </c>
      <c r="BP144" s="14">
        <v>0</v>
      </c>
      <c r="BQ144" s="14">
        <v>0</v>
      </c>
      <c r="BR144" s="14">
        <v>1.5</v>
      </c>
    </row>
    <row r="145" spans="1:70">
      <c r="A145" s="24">
        <v>2018</v>
      </c>
      <c r="B145" s="24" t="s">
        <v>136</v>
      </c>
      <c r="C145" s="24" t="s">
        <v>152</v>
      </c>
      <c r="D145" s="24" t="s">
        <v>205</v>
      </c>
      <c r="E145" s="23"/>
      <c r="F145" s="24" t="s">
        <v>211</v>
      </c>
      <c r="G145" s="23" t="s">
        <v>226</v>
      </c>
      <c r="H145" s="23" t="s">
        <v>225</v>
      </c>
      <c r="I145" s="24" t="s">
        <v>226</v>
      </c>
      <c r="J145" s="23" t="s">
        <v>226</v>
      </c>
      <c r="K145" s="24" t="s">
        <v>226</v>
      </c>
      <c r="L145" s="23"/>
      <c r="M145" s="26" t="s">
        <v>301</v>
      </c>
      <c r="N145" s="24">
        <v>2019</v>
      </c>
      <c r="O145" s="67" t="s">
        <v>201</v>
      </c>
      <c r="P145" s="68"/>
      <c r="Q145" s="68"/>
      <c r="R145" s="68"/>
      <c r="S145" s="68"/>
      <c r="T145" s="69"/>
      <c r="U145" s="5">
        <f>COUNTIFS(   D4:D1440,"Monitorización y Sistemas de Control Avanzados")</f>
        <v>7</v>
      </c>
      <c r="V145" s="5">
        <f>COUNTIFS(   D4:D1440,"Monitorización y Sistemas de Control Avanzados",F4:F1440,"Hombre")</f>
        <v>7</v>
      </c>
      <c r="W145" s="5">
        <f>COUNTIFS(   D4:D1440,"Monitorización y Sistemas de Control Avanzados",F4:F1440,"Mujer")</f>
        <v>0</v>
      </c>
      <c r="X145" s="19">
        <v>0</v>
      </c>
      <c r="Y145" s="5">
        <v>0</v>
      </c>
      <c r="Z145" s="5">
        <v>0</v>
      </c>
      <c r="AA145" s="5">
        <v>0</v>
      </c>
      <c r="AB145" s="5">
        <v>0</v>
      </c>
      <c r="AC145" s="19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f>COUNTIFS(   D4:D1440,"Monitorización y Sistemas de Control Avanzados",G4:G1440,"Sí")</f>
        <v>0</v>
      </c>
      <c r="AI145" s="5">
        <f>COUNTIFS(   D4:D1440,"Monitorización y Sistemas de Control Avanzados",G4:G1440,"No")</f>
        <v>7</v>
      </c>
      <c r="AJ145" s="5">
        <f>SUMIFS( E4:E1440, D4:D1440,"Monitorización y Sistemas de Control Avanzados",G4:G1440,"Sí")</f>
        <v>0</v>
      </c>
      <c r="AK145" s="5">
        <f>SUMIFS( E4:E1440, D4:D1440,"Monitorización y Sistemas de Control Avanzados",G4:G1440,"No")</f>
        <v>41</v>
      </c>
      <c r="AL145" s="5">
        <f>COUNTIFS(   D4:D1440,"Monitorización y Sistemas de Control Avanzados",H4:H1440,"Sí")</f>
        <v>7</v>
      </c>
      <c r="AM145" s="5">
        <f>COUNTIFS(   D4:D1440,"Monitorización y Sistemas de Control Avanzados",I4:I1440,"Sí")</f>
        <v>4</v>
      </c>
      <c r="AN145" s="5">
        <f>COUNTIFS(   D4:D1440,"Monitorización y Sistemas de Control Avanzados",I4:I1440,"No")</f>
        <v>3</v>
      </c>
      <c r="AO145" s="5">
        <f>SUMIFS( E4:E1440, D4:D1440,"Monitorización y Sistemas de Control Avanzados",I4:I1440,"Sí")</f>
        <v>23</v>
      </c>
      <c r="AP145" s="5">
        <f>SUMIFS( E4:E1440, D4:D1440,"Monitorización y Sistemas de Control Avanzados",I4:I1440,"No")</f>
        <v>18</v>
      </c>
      <c r="AQ145" s="5">
        <f>COUNTIFS(   D4:D1440,"Monitorización y Sistemas de Control Avanzados",J4:J1440,"Sí")</f>
        <v>7</v>
      </c>
      <c r="AR145" s="5">
        <f>COUNTIFS(   D4:D1440,"Monitorización y Sistemas de Control Avanzados",K4:K1440,"Sí")</f>
        <v>3</v>
      </c>
      <c r="AS145" s="5">
        <f>COUNTIFS(   D4:D1440,"Monitorización y Sistemas de Control Avanzados",L4:L1440,"Sí")</f>
        <v>0</v>
      </c>
      <c r="AT145" s="5">
        <f>SUMIFS( E4:E1440, D4:D1440,"Monitorización y Sistemas de Control Avanzados")</f>
        <v>41</v>
      </c>
      <c r="AU145" s="5">
        <v>0</v>
      </c>
      <c r="AV145" s="5">
        <v>0</v>
      </c>
      <c r="AW145" s="19">
        <v>0</v>
      </c>
      <c r="AX145" s="5">
        <v>0</v>
      </c>
      <c r="AY145" s="5">
        <v>0</v>
      </c>
      <c r="AZ145" s="5">
        <v>0</v>
      </c>
      <c r="BA145" s="5">
        <v>0</v>
      </c>
      <c r="BB145" s="19">
        <v>0</v>
      </c>
      <c r="BC145" s="5">
        <v>0</v>
      </c>
      <c r="BD145" s="5">
        <v>0</v>
      </c>
      <c r="BE145" s="5">
        <v>0</v>
      </c>
      <c r="BF145" s="5">
        <v>0</v>
      </c>
      <c r="BG145" s="14">
        <f>AVERAGEIFS( E4:E1440, D4:D1440,"Monitorización y Sistemas de Control Avanzados")</f>
        <v>5.8571428571428568</v>
      </c>
      <c r="BH145" s="14">
        <v>0</v>
      </c>
      <c r="BI145" s="14">
        <v>0</v>
      </c>
      <c r="BJ145" s="14">
        <v>0</v>
      </c>
      <c r="BK145" s="14">
        <v>0</v>
      </c>
      <c r="BL145" s="37">
        <v>0</v>
      </c>
      <c r="BM145" s="14">
        <v>0</v>
      </c>
      <c r="BN145" s="14">
        <v>0</v>
      </c>
      <c r="BO145" s="14">
        <v>0</v>
      </c>
      <c r="BP145" s="14">
        <v>0</v>
      </c>
      <c r="BQ145" s="14">
        <v>0</v>
      </c>
      <c r="BR145" s="14">
        <v>0</v>
      </c>
    </row>
    <row r="146" spans="1:70" ht="15" customHeight="1">
      <c r="A146" s="24">
        <v>2018</v>
      </c>
      <c r="B146" s="24" t="s">
        <v>136</v>
      </c>
      <c r="C146" s="24" t="s">
        <v>171</v>
      </c>
      <c r="D146" s="24" t="s">
        <v>175</v>
      </c>
      <c r="E146" s="23"/>
      <c r="F146" s="24" t="s">
        <v>211</v>
      </c>
      <c r="G146" s="23" t="s">
        <v>226</v>
      </c>
      <c r="H146" s="23" t="s">
        <v>225</v>
      </c>
      <c r="I146" s="24" t="s">
        <v>226</v>
      </c>
      <c r="J146" s="23" t="s">
        <v>226</v>
      </c>
      <c r="K146" s="24" t="s">
        <v>226</v>
      </c>
      <c r="L146" s="23"/>
      <c r="M146" s="26" t="s">
        <v>301</v>
      </c>
      <c r="N146" s="24">
        <v>2019</v>
      </c>
      <c r="O146" s="67" t="s">
        <v>134</v>
      </c>
      <c r="P146" s="68"/>
      <c r="Q146" s="68"/>
      <c r="R146" s="68"/>
      <c r="S146" s="68"/>
      <c r="T146" s="69"/>
      <c r="U146" s="5">
        <f>COUNTIFS(   D4:D1440,"Procesado y clasificación de imágenes y vídeo. Visión por computador")</f>
        <v>2</v>
      </c>
      <c r="V146" s="5">
        <f>COUNTIFS(   D4:D1440,"Procesado y clasificación de imágenes y vídeo. Visión por computador",F4:F1440,"Hombre")</f>
        <v>2</v>
      </c>
      <c r="W146" s="5">
        <f>COUNTIFS(   D4:D1440,"Procesado y clasificación de imágenes y vídeo. Visión por computador",F4:F1440,"Mujer")</f>
        <v>0</v>
      </c>
      <c r="X146" s="19">
        <f>COUNTIFS(   A4:A1440,"2018", D4:D1440,"Procesado y clasificación de imágenes y vídeo. Visión por computador")</f>
        <v>1</v>
      </c>
      <c r="Y146" s="5">
        <f>COUNTIFS(   A4:A1440,"2019", D4:D1440,"Procesado y clasificación de imágenes y vídeo. Visión por computador")</f>
        <v>0</v>
      </c>
      <c r="Z146" s="5">
        <f>COUNTIFS(   A4:A1440,"2020", D4:D1440,"Procesado y clasificación de imágenes y vídeo. Visión por computador")</f>
        <v>1</v>
      </c>
      <c r="AA146" s="5">
        <f>COUNTIFS(   A4:A1440,"2021", D4:D1440,"Procesado y clasificación de imágenes y vídeo. Visión por computador")</f>
        <v>0</v>
      </c>
      <c r="AB146" s="5">
        <f>COUNTIFS(  A4:A1440,"2022", D4:D1440,"Procesado y clasificación de imágenes y vídeo. Visión por computador")</f>
        <v>0</v>
      </c>
      <c r="AC146" s="19">
        <f>COUNTIFS(   N4:N1440,"2018", D4:D1440,"Procesado y clasificación de imágenes y vídeo. Visión por computador")</f>
        <v>0</v>
      </c>
      <c r="AD146" s="5">
        <f>COUNTIFS(   N4:N1440,"2019", D4:D1440,"Procesado y clasificación de imágenes y vídeo. Visión por computador")</f>
        <v>1</v>
      </c>
      <c r="AE146" s="5">
        <f>COUNTIFS(   N4:N1440,"2020", D4:D1440,"Procesado y clasificación de imágenes y vídeo. Visión por computador")</f>
        <v>0</v>
      </c>
      <c r="AF146" s="5">
        <f>COUNTIFS(   N4:N1440,"2021", D4:D1440,"Procesado y clasificación de imágenes y vídeo. Visión por computador")</f>
        <v>1</v>
      </c>
      <c r="AG146" s="5">
        <f>COUNTIFS(   N4:N1440,"2022", D4:D1440,"Procesado y clasificación de imágenes y vídeo. Visión por computador")</f>
        <v>0</v>
      </c>
      <c r="AH146" s="5">
        <f>COUNTIFS(   D4:D1440,"Procesado y clasificación de imágenes y vídeo. Visión por computador",G4:G1440,"Sí")</f>
        <v>0</v>
      </c>
      <c r="AI146" s="5">
        <f>COUNTIFS(   D4:D1440,"Procesado y clasificación de imágenes y vídeo. Visión por computador",G4:G1440,"No")</f>
        <v>2</v>
      </c>
      <c r="AJ146" s="5">
        <f>SUMIFS( E4:E1440, D4:D1440,"Procesado y clasificación de imágenes y vídeo. Visión por computador",G4:G1440,"Sí")</f>
        <v>0</v>
      </c>
      <c r="AK146" s="5">
        <f>SUMIFS( E4:E1440, D4:D1440,"Procesado y clasificación de imágenes y vídeo. Visión por computador",G4:G1440,"No")</f>
        <v>18</v>
      </c>
      <c r="AL146" s="5">
        <f>COUNTIFS(   D4:D1440,"Procesado y clasificación de imágenes y vídeo. Visión por computador",H4:H1440,"Sí")</f>
        <v>2</v>
      </c>
      <c r="AM146" s="5">
        <f>COUNTIFS(   D4:D1440,"Procesado y clasificación de imágenes y vídeo. Visión por computador",I4:I1440,"Sí")</f>
        <v>2</v>
      </c>
      <c r="AN146" s="5">
        <f>COUNTIFS(   D4:D1440,"Procesado y clasificación de imágenes y vídeo. Visión por computador",I4:I1440,"No")</f>
        <v>0</v>
      </c>
      <c r="AO146" s="5">
        <f>SUMIFS( E4:E1440, D4:D1440,"Procesado y clasificación de imágenes y vídeo. Visión por computador",I4:I1440,"Sí")</f>
        <v>18</v>
      </c>
      <c r="AP146" s="5">
        <f>SUMIFS( E4:E1440, D4:D1440,"Procesado y clasificación de imágenes y vídeo. Visión por computador",I4:I1440,"No")</f>
        <v>0</v>
      </c>
      <c r="AQ146" s="5">
        <f>COUNTIFS(   D4:D1440,"Procesado y clasificación de imágenes y vídeo. Visión por computador",J4:J1440,"Sí")</f>
        <v>2</v>
      </c>
      <c r="AR146" s="5">
        <f>COUNTIFS(   D4:D1440,"Procesado y clasificación de imágenes y vídeo. Visión por computador",K4:K1440,"Sí")</f>
        <v>1</v>
      </c>
      <c r="AS146" s="5">
        <f>COUNTIFS(   D4:D1440,"Procesado y clasificación de imágenes y vídeo. Visión por computador",L4:L1440,"Sí")</f>
        <v>0</v>
      </c>
      <c r="AT146" s="5">
        <f>SUMIFS( E4:E1440, D4:D1440,"Procesado y clasificación de imágenes y vídeo. Visión por computador")</f>
        <v>18</v>
      </c>
      <c r="AU146" s="5">
        <f>SUMIFS( E4:E1440, F4:F1440,"Hombre", D4:D1440,"Procesado y clasificación de imágenes y vídeo. Visión por computador")</f>
        <v>18</v>
      </c>
      <c r="AV146" s="5">
        <f>SUMIFS( E4:E1440, F4:F1440,"Mujer", D4:D1440,"Procesado y clasificación de imágenes y vídeo. Visión por computador")</f>
        <v>0</v>
      </c>
      <c r="AW146" s="19">
        <f>SUMIFS( E4:E1440, A4:A1440,"2018", D4:D1440,"Procesado y clasificación de imágenes y vídeo. Visión por computador")</f>
        <v>3</v>
      </c>
      <c r="AX146" s="5">
        <f>SUMIFS( E4:E1440, A4:A1440,"2019", D4:D1440,"Procesado y clasificación de imágenes y vídeo. Visión por computador")</f>
        <v>0</v>
      </c>
      <c r="AY146" s="5">
        <f>SUMIFS( E4:E1440, A4:A1440,"2020", D4:D1440,"Procesado y clasificación de imágenes y vídeo. Visión por computador")</f>
        <v>15</v>
      </c>
      <c r="AZ146" s="5">
        <f>SUMIFS( E4:E1440, A4:A1440,"2021", D4:D1440,"Procesado y clasificación de imágenes y vídeo. Visión por computador")</f>
        <v>0</v>
      </c>
      <c r="BA146" s="5">
        <f>SUMIFS( E4:E1440, A4:A1440,"2022", D4:D1440,"Procesado y clasificación de imágenes y vídeo. Visión por computador")</f>
        <v>0</v>
      </c>
      <c r="BB146" s="19">
        <f>SUMIFS( E4:E1440, N4:N1440,"2018", D4:D1440,"Procesado y clasificación de imágenes y vídeo. Visión por computador")</f>
        <v>0</v>
      </c>
      <c r="BC146" s="5">
        <f>SUMIFS( E4:E1440, N4:N1440,"2019", D4:D1440,"Procesado y clasificación de imágenes y vídeo. Visión por computador")</f>
        <v>3</v>
      </c>
      <c r="BD146" s="5">
        <f>SUMIFS( E4:E1440, N4:N1440,"2020", D4:D1440,"Procesado y clasificación de imágenes y vídeo. Visión por computador")</f>
        <v>0</v>
      </c>
      <c r="BE146" s="5">
        <f>SUMIFS( E4:E1440, N4:N1440,"2021", D4:D1440,"Procesado y clasificación de imágenes y vídeo. Visión por computador")</f>
        <v>15</v>
      </c>
      <c r="BF146" s="5">
        <f>SUMIFS( E4:E1440, N4:N1440,"2022", D4:D1440,"Procesado y clasificación de imágenes y vídeo. Visión por computador")</f>
        <v>0</v>
      </c>
      <c r="BG146" s="14">
        <f>AVERAGEIFS( E4:E1440, D4:D1440,"Procesado y clasificación de imágenes y vídeo. Visión por computador")</f>
        <v>9</v>
      </c>
      <c r="BH146" s="14">
        <v>0</v>
      </c>
      <c r="BI146" s="14">
        <v>0</v>
      </c>
      <c r="BJ146" s="14">
        <f>AVERAGEIFS( E4:E1440, A4:A1440,"2020", D4:D1440,"Procesado y clasificación de imágenes y vídeo. Visión por computador")</f>
        <v>15</v>
      </c>
      <c r="BK146" s="14">
        <v>0</v>
      </c>
      <c r="BL146" s="37">
        <v>0</v>
      </c>
      <c r="BM146" s="14">
        <v>6</v>
      </c>
      <c r="BN146" s="14">
        <v>0</v>
      </c>
      <c r="BO146" s="14">
        <v>0</v>
      </c>
      <c r="BP146" s="14">
        <v>6</v>
      </c>
      <c r="BQ146" s="14">
        <v>0</v>
      </c>
      <c r="BR146" s="14">
        <v>0</v>
      </c>
    </row>
    <row r="147" spans="1:70" ht="15" customHeight="1">
      <c r="A147" s="24">
        <v>2018</v>
      </c>
      <c r="B147" s="24" t="s">
        <v>4</v>
      </c>
      <c r="C147" s="24" t="s">
        <v>23</v>
      </c>
      <c r="D147" s="24" t="s">
        <v>25</v>
      </c>
      <c r="E147" s="23">
        <v>11</v>
      </c>
      <c r="F147" s="24" t="s">
        <v>207</v>
      </c>
      <c r="G147" s="24" t="s">
        <v>225</v>
      </c>
      <c r="H147" s="23" t="s">
        <v>226</v>
      </c>
      <c r="I147" s="24" t="s">
        <v>225</v>
      </c>
      <c r="J147" s="23" t="s">
        <v>226</v>
      </c>
      <c r="K147" s="24" t="s">
        <v>226</v>
      </c>
      <c r="L147" s="23"/>
      <c r="M147" s="26" t="s">
        <v>302</v>
      </c>
      <c r="N147" s="24">
        <v>2019</v>
      </c>
      <c r="O147" s="51" t="s">
        <v>249</v>
      </c>
      <c r="P147" s="52"/>
      <c r="Q147" s="52"/>
      <c r="R147" s="52"/>
      <c r="S147" s="52"/>
      <c r="T147" s="53"/>
      <c r="U147" s="5">
        <f>COUNTIFS(   D4:D1440,"Recuperación de Información. Web e Internet")</f>
        <v>3</v>
      </c>
      <c r="V147" s="5">
        <f>COUNTIFS(   D4:D1440,"Recuperación de Información. Web e Internet",F4:F1440,"Hombre")</f>
        <v>3</v>
      </c>
      <c r="W147" s="5">
        <f>COUNTIFS(   D4:D1440,"Recuperación de Información. Web e Internet",F4:F1440,"Mujer")</f>
        <v>0</v>
      </c>
      <c r="X147" s="19">
        <f>COUNTIFS(   A4:A1440,"2018", D4:D1440,"Recuperación de Información. Web e Internet")</f>
        <v>1</v>
      </c>
      <c r="Y147" s="5">
        <f>COUNTIFS(   A4:A1440,"2019", D4:D1440,"Recuperación de Información. Web e Internet")</f>
        <v>1</v>
      </c>
      <c r="Z147" s="5">
        <f>COUNTIFS(   A4:A1440,"2020", D4:D1440,"Recuperación de Información. Web e Internet")</f>
        <v>0</v>
      </c>
      <c r="AA147" s="5">
        <f>COUNTIFS(   A4:A1440,"2021", D4:D1440,"Recuperación de Información. Web e Internet")</f>
        <v>1</v>
      </c>
      <c r="AB147" s="5">
        <f>COUNTIFS(  A4:A1440,"2022", D4:D1440,"Recuperación de Información. Web e Internet")</f>
        <v>0</v>
      </c>
      <c r="AC147" s="19">
        <f>COUNTIFS(   N4:N1440,"2018", D4:D1440,"Recuperación de Información. Web e Internet")</f>
        <v>1</v>
      </c>
      <c r="AD147" s="5">
        <f>COUNTIFS(   N4:N1440,"2019", D4:D1440,"Recuperación de Información. Web e Internet")</f>
        <v>0</v>
      </c>
      <c r="AE147" s="5">
        <f>COUNTIFS(   N4:N1440,"2020", D4:D1440,"Recuperación de Información. Web e Internet")</f>
        <v>1</v>
      </c>
      <c r="AF147" s="5">
        <f>COUNTIFS(   N4:N1440,"2021", D4:D1440,"Recuperación de Información. Web e Internet")</f>
        <v>0</v>
      </c>
      <c r="AG147" s="5">
        <f>COUNTIFS(   N4:N1440,"2022", D4:D1440,"Recuperación de Información. Web e Internet")</f>
        <v>1</v>
      </c>
      <c r="AH147" s="5">
        <f>COUNTIFS(   D4:D1440,"Recuperación de Información. Web e Internet",G4:G1440,"Sí")</f>
        <v>0</v>
      </c>
      <c r="AI147" s="5">
        <f>COUNTIFS(   D4:D1440,"Recuperación de Información. Web e Internet",G4:G1440,"No")</f>
        <v>3</v>
      </c>
      <c r="AJ147" s="5">
        <f>SUMIFS( E4:E1440, D4:D1440,"Recuperación de Información. Web e Internet",G4:G1440,"Sí")</f>
        <v>0</v>
      </c>
      <c r="AK147" s="5">
        <f>SUMIFS( E4:E1440, D4:D1440,"Recuperación de Información. Web e Internet",G4:G1440,"No")</f>
        <v>6</v>
      </c>
      <c r="AL147" s="5">
        <f>COUNTIFS(   D4:D1440,"Recuperación de Información. Web e Internet",H4:H1440,"Sí")</f>
        <v>3</v>
      </c>
      <c r="AM147" s="5">
        <f>COUNTIFS(   D4:D1440,"Recuperación de Información. Web e Internet",I4:I1440,"Sí")</f>
        <v>0</v>
      </c>
      <c r="AN147" s="5">
        <f>COUNTIFS(   D4:D1440,"Recuperación de Información. Web e Internet",I4:I1440,"No")</f>
        <v>3</v>
      </c>
      <c r="AO147" s="5">
        <f>SUMIFS( E4:E1440, D4:D1440,"Recuperación de Información. Web e Internet",I4:I1440,"Sí")</f>
        <v>0</v>
      </c>
      <c r="AP147" s="5">
        <f>SUMIFS( E4:E1440, D4:D1440,"Recuperación de Información. Web e Internet",I4:I1440,"No")</f>
        <v>6</v>
      </c>
      <c r="AQ147" s="5">
        <f>COUNTIFS(   D4:D1440,"Recuperación de Información. Web e Internet",J4:J1440,"Sí")</f>
        <v>3</v>
      </c>
      <c r="AR147" s="5">
        <f>COUNTIFS(   D4:D1440,"Recuperación de Información. Web e Internet",K4:K1440,"Sí")</f>
        <v>1</v>
      </c>
      <c r="AS147" s="5">
        <f>COUNTIFS(   D4:D1440,"Recuperación de Información. Web e Internet",L4:L1440,"Sí")</f>
        <v>0</v>
      </c>
      <c r="AT147" s="5">
        <f>SUMIFS( E4:E1440, D4:D1440,"Recuperación de Información. Web e Internet")</f>
        <v>6</v>
      </c>
      <c r="AU147" s="5">
        <f>SUMIFS( E4:E1440, F4:F1440,"Hombre", D4:D1440,"Recuperación de Información. Web e Internet")</f>
        <v>6</v>
      </c>
      <c r="AV147" s="5">
        <f>SUMIFS( E4:E1440, F4:F1440,"Mujer", D4:D1440,"Recuperación de Información. Web e Internet")</f>
        <v>0</v>
      </c>
      <c r="AW147" s="19">
        <f>SUMIFS( E4:E1440, A4:A1440,"2018", D4:D1440,"Recuperación de Información. Web e Internet")</f>
        <v>1</v>
      </c>
      <c r="AX147" s="5">
        <f>SUMIFS( E4:E1440, A4:A1440,"2019", D4:D1440,"Recuperación de Información. Web e Internet")</f>
        <v>3</v>
      </c>
      <c r="AY147" s="5">
        <f>SUMIFS( E4:E1440, A4:A1440,"2020", D4:D1440,"Recuperación de Información. Web e Internet")</f>
        <v>0</v>
      </c>
      <c r="AZ147" s="5">
        <f>SUMIFS( E4:E1440, A4:A1440,"2021", D4:D1440,"Recuperación de Información. Web e Internet")</f>
        <v>2</v>
      </c>
      <c r="BA147" s="5">
        <f>SUMIFS( E4:E1440, A4:A1440,"2022", D4:D1440,"Recuperación de Información. Web e Internet")</f>
        <v>0</v>
      </c>
      <c r="BB147" s="19">
        <f>SUMIFS( E4:E1440, N4:N1440,"2018", D4:D1440,"Recuperación de Información. Web e Internet")</f>
        <v>1</v>
      </c>
      <c r="BC147" s="5">
        <f>SUMIFS( E4:E1440, N4:N1440,"2019", D4:D1440,"Recuperación de Información. Web e Internet")</f>
        <v>0</v>
      </c>
      <c r="BD147" s="5">
        <f>SUMIFS( E4:E1440, N4:N1440,"2020", D4:D1440,"Recuperación de Información. Web e Internet")</f>
        <v>3</v>
      </c>
      <c r="BE147" s="5">
        <f>SUMIFS( E4:E1440, N4:N1440,"2021", D4:D1440,"Recuperación de Información. Web e Internet")</f>
        <v>0</v>
      </c>
      <c r="BF147" s="5">
        <f>SUMIFS( E4:E1440, N4:N1440,"2022", D4:D1440,"Recuperación de Información. Web e Internet")</f>
        <v>2</v>
      </c>
      <c r="BG147" s="14">
        <f>AVERAGEIFS( E4:E1440, D4:D1440,"Recuperación de Información. Web e Internet")</f>
        <v>2</v>
      </c>
      <c r="BH147" s="14"/>
      <c r="BI147" s="14"/>
      <c r="BJ147" s="14"/>
      <c r="BK147" s="14"/>
      <c r="BL147" s="37"/>
      <c r="BM147" s="14"/>
      <c r="BN147" s="14"/>
      <c r="BO147" s="14"/>
      <c r="BP147" s="14"/>
      <c r="BQ147" s="14"/>
      <c r="BR147" s="14"/>
    </row>
    <row r="148" spans="1:70" ht="15" customHeight="1">
      <c r="A148" s="24">
        <v>2018</v>
      </c>
      <c r="B148" s="24" t="s">
        <v>136</v>
      </c>
      <c r="C148" s="24" t="s">
        <v>176</v>
      </c>
      <c r="D148" s="24"/>
      <c r="E148" s="23"/>
      <c r="F148" s="24" t="s">
        <v>211</v>
      </c>
      <c r="G148" s="24" t="s">
        <v>225</v>
      </c>
      <c r="H148" s="23" t="s">
        <v>225</v>
      </c>
      <c r="I148" s="24" t="s">
        <v>225</v>
      </c>
      <c r="J148" s="23" t="s">
        <v>226</v>
      </c>
      <c r="K148" s="24" t="s">
        <v>226</v>
      </c>
      <c r="L148" s="23"/>
      <c r="M148" s="25">
        <v>43500</v>
      </c>
      <c r="N148" s="24">
        <v>2019</v>
      </c>
      <c r="O148" s="51" t="s">
        <v>250</v>
      </c>
      <c r="P148" s="52"/>
      <c r="Q148" s="52"/>
      <c r="R148" s="52"/>
      <c r="S148" s="52"/>
      <c r="T148" s="53"/>
      <c r="U148" s="5">
        <f>COUNTIFS(   D4:D1440,"Redes y Comunicaciones")</f>
        <v>5</v>
      </c>
      <c r="V148" s="5">
        <f>COUNTIFS(   D4:D1440,"Redes y Comunicaciones",F4:F1440,"Hombre")</f>
        <v>3</v>
      </c>
      <c r="W148" s="5">
        <f>COUNTIFS(   D4:D1440,"Redes y Comunicaciones",F4:F1440,"Mujer")</f>
        <v>2</v>
      </c>
      <c r="X148" s="19">
        <f>COUNTIFS(   A4:A1440,"2018", D4:D1440,"Redes y Comunicaciones")</f>
        <v>2</v>
      </c>
      <c r="Y148" s="5">
        <f>COUNTIFS(   A4:A1440,"2019", D4:D1440,"Redes y Comunicaciones")</f>
        <v>2</v>
      </c>
      <c r="Z148" s="5">
        <f>COUNTIFS(   A4:A1440,"2020", D4:D1440,"Redes y Comunicaciones")</f>
        <v>0</v>
      </c>
      <c r="AA148" s="5">
        <f>COUNTIFS(   A4:A1440,"2021", D4:D1440,"Redes y Comunicaciones")</f>
        <v>1</v>
      </c>
      <c r="AB148" s="5">
        <f>COUNTIFS(  A4:A1440,"2022", D4:D1440,"Redes y Comunicaciones")</f>
        <v>0</v>
      </c>
      <c r="AC148" s="19">
        <f>COUNTIFS(   N4:N1440,"2018", D4:D1440,"Redes y Comunicaciones")</f>
        <v>1</v>
      </c>
      <c r="AD148" s="5">
        <f>COUNTIFS(   N4:N1440,"2019", D4:D1440,"Redes y Comunicaciones")</f>
        <v>1</v>
      </c>
      <c r="AE148" s="5">
        <f>COUNTIFS(   N4:N1440,"2020", D4:D1440,"Redes y Comunicaciones")</f>
        <v>2</v>
      </c>
      <c r="AF148" s="5">
        <f>COUNTIFS(   N4:N1440,"2021", D4:D1440,"Redes y Comunicaciones")</f>
        <v>0</v>
      </c>
      <c r="AG148" s="5">
        <f>COUNTIFS(   N4:N1440,"2022", D4:D1440,"Redes y Comunicaciones")</f>
        <v>1</v>
      </c>
      <c r="AH148" s="5">
        <f>COUNTIFS(   D4:D1440,"Redes y Comunicaciones",G4:G1440,"Sí")</f>
        <v>0</v>
      </c>
      <c r="AI148" s="5">
        <f>COUNTIFS(   D4:D1440,"Redes y Comunicaciones",G4:G1440,"No")</f>
        <v>5</v>
      </c>
      <c r="AJ148" s="5">
        <f>SUMIFS( E4:E1440, D4:D1440,"Redes y Comunicaciones",G4:G1440,"Sí")</f>
        <v>0</v>
      </c>
      <c r="AK148" s="5">
        <f>SUMIFS( E4:E1440, D4:D1440,"Redes y Comunicaciones",G4:G1440,"No")</f>
        <v>33</v>
      </c>
      <c r="AL148" s="5">
        <f>COUNTIFS(   D4:D1440,"Redes y Comunicaciones",H4:H1440,"Sí")</f>
        <v>5</v>
      </c>
      <c r="AM148" s="5">
        <f>COUNTIFS(   D4:D1440,"Redes y Comunicaciones",I4:I1440,"Sí")</f>
        <v>3</v>
      </c>
      <c r="AN148" s="5">
        <f>COUNTIFS(   D4:D1440,"Redes y Comunicaciones",I4:I1440,"No")</f>
        <v>2</v>
      </c>
      <c r="AO148" s="5">
        <f>SUMIFS( E4:E1440, D4:D1440,"Redes y Comunicaciones",I4:I1440,"Sí")</f>
        <v>23</v>
      </c>
      <c r="AP148" s="5">
        <f>SUMIFS( E4:E1440, D4:D1440,"Redes y Comunicaciones",I4:I1440,"No")</f>
        <v>10</v>
      </c>
      <c r="AQ148" s="5">
        <f>COUNTIFS(   D4:D1440,"Redes y Comunicaciones",J4:J1440,"Sí")</f>
        <v>5</v>
      </c>
      <c r="AR148" s="5">
        <f>COUNTIFS(   D4:D1440,"Redes y Comunicaciones",K4:K1440,"Sí")</f>
        <v>3</v>
      </c>
      <c r="AS148" s="5">
        <f>COUNTIFS(   D4:D1440,"Redes y Comunicaciones",L4:L1440,"Sí")</f>
        <v>0</v>
      </c>
      <c r="AT148" s="5">
        <f>SUMIFS( E4:E1440, D4:D1440,"Redes y Comunicaciones")</f>
        <v>33</v>
      </c>
      <c r="AU148" s="5">
        <f>SUMIFS( E4:E1440, F4:F1440,"Hombre", D4:D1440,"Redes y Comunicaciones")</f>
        <v>27</v>
      </c>
      <c r="AV148" s="5">
        <f>SUMIFS( E4:E1440, F4:F1440,"Mujer", D4:D1440,"Redes y Comunicaciones")</f>
        <v>6</v>
      </c>
      <c r="AW148" s="19">
        <f>SUMIFS( E4:E1440, A4:A1440,"2018", D4:D1440,"Redes y Comunicaciones")</f>
        <v>21</v>
      </c>
      <c r="AX148" s="5">
        <f>SUMIFS( E4:E1440, A4:A1440,"2019", D4:D1440,"Redes y Comunicaciones")</f>
        <v>3</v>
      </c>
      <c r="AY148" s="5">
        <f>SUMIFS( E4:E1440, A4:A1440,"2020", D4:D1440,"Redes y Comunicaciones")</f>
        <v>0</v>
      </c>
      <c r="AZ148" s="5">
        <f>SUMIFS( E4:E1440, A4:A1440,"2021", D4:D1440,"Redes y Comunicaciones")</f>
        <v>9</v>
      </c>
      <c r="BA148" s="5">
        <f>SUMIFS( E4:E1440, A4:A1440,"2022", D4:D1440,"Redes y Comunicaciones")</f>
        <v>0</v>
      </c>
      <c r="BB148" s="19">
        <f>SUMIFS( E4:E1440, N4:N1440,"2018", D4:D1440,"Redes y Comunicaciones")</f>
        <v>17</v>
      </c>
      <c r="BC148" s="5">
        <f>SUMIFS( E4:E1440, N4:N1440,"2019", D4:D1440,"Redes y Comunicaciones")</f>
        <v>4</v>
      </c>
      <c r="BD148" s="5">
        <f>SUMIFS( E4:E1440, N4:N1440,"2020", D4:D1440,"Redes y Comunicaciones")</f>
        <v>3</v>
      </c>
      <c r="BE148" s="5">
        <f>SUMIFS( E4:E1440, N4:N1440,"2021", D4:D1440,"Redes y Comunicaciones")</f>
        <v>0</v>
      </c>
      <c r="BF148" s="5">
        <f>SUMIFS( E4:E1440, N4:N1440,"2022", D4:D1440,"Redes y Comunicaciones")</f>
        <v>9</v>
      </c>
      <c r="BG148" s="14">
        <f>AVERAGEIFS( E4:E1440, D4:D1440,"Redes y Comunicaciones")</f>
        <v>6.6</v>
      </c>
      <c r="BH148" s="14"/>
      <c r="BI148" s="14"/>
      <c r="BJ148" s="14"/>
      <c r="BK148" s="14"/>
      <c r="BL148" s="37"/>
      <c r="BM148" s="14"/>
      <c r="BN148" s="14"/>
      <c r="BO148" s="14"/>
      <c r="BP148" s="14"/>
      <c r="BQ148" s="14"/>
      <c r="BR148" s="14"/>
    </row>
    <row r="149" spans="1:70" ht="15" customHeight="1">
      <c r="A149" s="24">
        <v>2018</v>
      </c>
      <c r="B149" s="24" t="s">
        <v>136</v>
      </c>
      <c r="C149" s="24" t="s">
        <v>137</v>
      </c>
      <c r="D149" s="24" t="s">
        <v>145</v>
      </c>
      <c r="E149" s="23">
        <v>1</v>
      </c>
      <c r="F149" s="24" t="s">
        <v>211</v>
      </c>
      <c r="G149" s="24" t="s">
        <v>225</v>
      </c>
      <c r="H149" s="23" t="s">
        <v>226</v>
      </c>
      <c r="I149" s="24" t="s">
        <v>225</v>
      </c>
      <c r="J149" s="23" t="s">
        <v>226</v>
      </c>
      <c r="K149" s="24" t="s">
        <v>226</v>
      </c>
      <c r="L149" s="23"/>
      <c r="M149" s="25">
        <v>43503</v>
      </c>
      <c r="N149" s="24">
        <v>2019</v>
      </c>
      <c r="O149" s="51" t="s">
        <v>269</v>
      </c>
      <c r="P149" s="52"/>
      <c r="Q149" s="52"/>
      <c r="R149" s="52"/>
      <c r="S149" s="52"/>
      <c r="T149" s="53"/>
      <c r="U149" s="5">
        <f>COUNTIFS(   D4:D1440,"Procesado de señal y aplicaciones multidisciplinares")</f>
        <v>8</v>
      </c>
      <c r="V149" s="5">
        <f>COUNTIFS(   D4:D1440,"Procesado de señal y aplicaciones multidisciplinares",F4:F1440,"Hombre")</f>
        <v>8</v>
      </c>
      <c r="W149" s="5">
        <f>COUNTIFS(   D4:D1440,"Procesado de señal y aplicaciones multidisciplinares",F4:F1440,"Mujer")</f>
        <v>0</v>
      </c>
      <c r="X149" s="19">
        <f>COUNTIFS(   A4:A1440,"2018", D4:D1440,"Procesado de señal y aplicaciones multidisciplinares")</f>
        <v>3</v>
      </c>
      <c r="Y149" s="5">
        <f>COUNTIFS(   A4:A1440,"2019", D4:D1440,"Procesado de señal y aplicaciones multidisciplinares")</f>
        <v>1</v>
      </c>
      <c r="Z149" s="5">
        <f>COUNTIFS(   A4:A1440,"2020", D4:D1440,"Procesado de señal y aplicaciones multidisciplinares")</f>
        <v>2</v>
      </c>
      <c r="AA149" s="5">
        <f>COUNTIFS(   A4:A1440,"2021", D4:D1440,"Procesado de señal y aplicaciones multidisciplinares")</f>
        <v>2</v>
      </c>
      <c r="AB149" s="5">
        <f>COUNTIFS(  A4:A1440,"2022", D4:D1440,"Procesado de señal y aplicaciones multidisciplinares")</f>
        <v>0</v>
      </c>
      <c r="AC149" s="19">
        <f>COUNTIFS(   N4:N1440,"2018", D4:D1440,"Procesado de señal y aplicaciones multidisciplinares")</f>
        <v>1</v>
      </c>
      <c r="AD149" s="5">
        <f>COUNTIFS(   N4:N1440,"2019", D4:D1440,"Procesado de señal y aplicaciones multidisciplinares")</f>
        <v>3</v>
      </c>
      <c r="AE149" s="5">
        <f>COUNTIFS(   N4:N1440,"2020", D4:D1440,"Procesado de señal y aplicaciones multidisciplinares")</f>
        <v>0</v>
      </c>
      <c r="AF149" s="5">
        <f>COUNTIFS(   N4:N1440,"2021", D4:D1440,"Procesado de señal y aplicaciones multidisciplinares")</f>
        <v>3</v>
      </c>
      <c r="AG149" s="5">
        <f>COUNTIFS(   N4:N1440,"2022", D4:D1440,"Procesado de señal y aplicaciones multidisciplinares")</f>
        <v>1</v>
      </c>
      <c r="AH149" s="5">
        <f>COUNTIFS(   D4:D1440,"Procesado de señal y aplicaciones multidisciplinares",G4:G1440,"Sí")</f>
        <v>0</v>
      </c>
      <c r="AI149" s="5">
        <f>COUNTIFS(   D4:D1440,"Procesado de señal y aplicaciones multidisciplinares",G4:G1440,"No")</f>
        <v>8</v>
      </c>
      <c r="AJ149" s="5">
        <f>SUMIFS( E4:E1440, D4:D1440,"Procesado de señal y aplicaciones multidisciplinares",G4:G1440,"Sí")</f>
        <v>0</v>
      </c>
      <c r="AK149" s="5">
        <f>SUMIFS( E4:E1440, D4:D1440,"Procesado de señal y aplicaciones multidisciplinares",G4:G1440,"No")</f>
        <v>52</v>
      </c>
      <c r="AL149" s="5">
        <f>COUNTIFS(   D4:D1440,"Procesado de señal y aplicaciones multidisciplinares",H4:H1440,"Sí")</f>
        <v>6</v>
      </c>
      <c r="AM149" s="5">
        <f>COUNTIFS(   D4:D1440,"Procesado de señal y aplicaciones multidisciplinares",I4:I1440,"Sí")</f>
        <v>6</v>
      </c>
      <c r="AN149" s="5">
        <f>COUNTIFS(   D4:D1440,"Procesado de señal y aplicaciones multidisciplinares",I4:I1440,"No")</f>
        <v>2</v>
      </c>
      <c r="AO149" s="5">
        <f>SUMIFS( E4:E1440, D4:D1440,"Procesado de señal y aplicaciones multidisciplinares",I4:I1440,"Sí")</f>
        <v>48</v>
      </c>
      <c r="AP149" s="5">
        <f>SUMIFS( E4:E1440, D4:D1440,"Procesado de señal y aplicaciones multidisciplinares",I4:I1440,"No")</f>
        <v>4</v>
      </c>
      <c r="AQ149" s="5">
        <f>COUNTIFS(   D4:D1440,"Procesado de señal y aplicaciones multidisciplinares",J4:J1440,"Sí")</f>
        <v>8</v>
      </c>
      <c r="AR149" s="5">
        <f>COUNTIFS(   D4:D1440,"Procesado de señal y aplicaciones multidisciplinares",K4:K1440,"Sí")</f>
        <v>4</v>
      </c>
      <c r="AS149" s="5">
        <f>COUNTIFS(   D4:D1440,"Procesado de señal y aplicaciones multidisciplinares",L4:L1440,"Sí")</f>
        <v>0</v>
      </c>
      <c r="AT149" s="5">
        <f>SUMIFS( E4:E1440, D4:D1440,"Procesado de señal y aplicaciones multidisciplinares")</f>
        <v>52</v>
      </c>
      <c r="AU149" s="5">
        <f>SUMIFS( E4:E1440, F4:F1440,"Hombre", D4:D1440,"Procesado de señal y aplicaciones multidisciplinares")</f>
        <v>52</v>
      </c>
      <c r="AV149" s="5">
        <f>SUMIFS( E4:E1440, F4:F1440,"Mujer", D4:D1440,"Procesado de señal y aplicaciones multidisciplinares")</f>
        <v>0</v>
      </c>
      <c r="AW149" s="19">
        <f>SUMIFS( E4:E1440, A4:A1440,"2018", D4:D1440,"Procesado de señal y aplicaciones multidisciplinares")</f>
        <v>1</v>
      </c>
      <c r="AX149" s="5">
        <f>SUMIFS( E4:E1440, A4:A1440,"2019", D4:D1440,"Procesado de señal y aplicaciones multidisciplinares")</f>
        <v>4</v>
      </c>
      <c r="AY149" s="5">
        <f>SUMIFS( E4:E1440, A4:A1440,"2020", D4:D1440,"Procesado de señal y aplicaciones multidisciplinares")</f>
        <v>36</v>
      </c>
      <c r="AZ149" s="5">
        <f>SUMIFS( E4:E1440, A4:A1440,"2021", D4:D1440,"Procesado de señal y aplicaciones multidisciplinares")</f>
        <v>11</v>
      </c>
      <c r="BA149" s="5">
        <f>SUMIFS( E4:E1440, A4:A1440,"2022", D4:D1440,"Procesado de señal y aplicaciones multidisciplinares")</f>
        <v>0</v>
      </c>
      <c r="BB149" s="19">
        <f>SUMIFS( E4:E1440, N4:N1440,"2018", D4:D1440,"Procesado de señal y aplicaciones multidisciplinares")</f>
        <v>1</v>
      </c>
      <c r="BC149" s="5">
        <f>SUMIFS( E4:E1440, N4:N1440,"2019", D4:D1440,"Procesado de señal y aplicaciones multidisciplinares")</f>
        <v>4</v>
      </c>
      <c r="BD149" s="5">
        <f>SUMIFS( E4:E1440, N4:N1440,"2020", D4:D1440,"Procesado de señal y aplicaciones multidisciplinares")</f>
        <v>0</v>
      </c>
      <c r="BE149" s="5">
        <f>SUMIFS( E4:E1440, N4:N1440,"2021", D4:D1440,"Procesado de señal y aplicaciones multidisciplinares")</f>
        <v>38</v>
      </c>
      <c r="BF149" s="5">
        <f>SUMIFS( E4:E1440, N4:N1440,"2022", D4:D1440,"Procesado de señal y aplicaciones multidisciplinares")</f>
        <v>9</v>
      </c>
      <c r="BG149" s="14">
        <f>AVERAGEIFS( E4:E1440, D4:D1440,"Procesado de señal y aplicaciones multidisciplinares")</f>
        <v>8.6666666666666661</v>
      </c>
      <c r="BH149" s="14"/>
      <c r="BI149" s="14"/>
      <c r="BJ149" s="14"/>
      <c r="BK149" s="14"/>
      <c r="BL149" s="37"/>
      <c r="BM149" s="14"/>
      <c r="BN149" s="14"/>
      <c r="BO149" s="14"/>
      <c r="BP149" s="14"/>
      <c r="BQ149" s="14"/>
      <c r="BR149" s="14"/>
    </row>
    <row r="150" spans="1:70" ht="15" customHeight="1">
      <c r="A150" s="24">
        <v>2018</v>
      </c>
      <c r="B150" s="24" t="s">
        <v>136</v>
      </c>
      <c r="C150" s="24" t="s">
        <v>137</v>
      </c>
      <c r="D150" s="24" t="s">
        <v>145</v>
      </c>
      <c r="E150" s="23">
        <v>2</v>
      </c>
      <c r="F150" s="24" t="s">
        <v>207</v>
      </c>
      <c r="G150" s="24" t="s">
        <v>225</v>
      </c>
      <c r="H150" s="23" t="s">
        <v>226</v>
      </c>
      <c r="I150" s="24" t="s">
        <v>225</v>
      </c>
      <c r="J150" s="23" t="s">
        <v>226</v>
      </c>
      <c r="K150" s="24" t="s">
        <v>226</v>
      </c>
      <c r="L150" s="23"/>
      <c r="M150" s="25">
        <v>43503</v>
      </c>
      <c r="N150" s="24">
        <v>2019</v>
      </c>
      <c r="O150" s="51" t="s">
        <v>278</v>
      </c>
      <c r="P150" s="52"/>
      <c r="Q150" s="52"/>
      <c r="R150" s="52"/>
      <c r="S150" s="52"/>
      <c r="T150" s="53"/>
      <c r="U150" s="5">
        <f>COUNTIFS(   D4:D1440,"Ingeniería Neuronal y Sistemas Integrados Bioinspirados")</f>
        <v>3</v>
      </c>
      <c r="V150" s="5">
        <f>COUNTIFS(   D4:D1440,"Ingeniería Neuronal y Sistemas Integrados Bioinspirados",F4:F1440,"Hombre")</f>
        <v>3</v>
      </c>
      <c r="W150" s="5">
        <f>COUNTIFS(   D4:D1440,"Ingeniería Neuronal y Sistemas Integrados Bioinspirados",F4:F1440,"Mujer")</f>
        <v>0</v>
      </c>
      <c r="X150" s="19">
        <f>COUNTIFS(   A4:A1440,"2018", D4:D1440,"Ingeniería Neuronal y Sistemas Integrados Bioinspirados")</f>
        <v>1</v>
      </c>
      <c r="Y150" s="5">
        <f>COUNTIFS(   A4:A1440,"2019", D4:D1440,"Ingeniería Neuronal y Sistemas Integrados Bioinspirados")</f>
        <v>2</v>
      </c>
      <c r="Z150" s="5">
        <f>COUNTIFS(   A4:A1440,"2020", D4:D1440,"Ingeniería Neuronal y Sistemas Integrados Bioinspirados")</f>
        <v>0</v>
      </c>
      <c r="AA150" s="5">
        <f>COUNTIFS(   A4:A1440,"2021", D4:D1440,"Ingeniería Neuronal y Sistemas Integrados Bioinspirados")</f>
        <v>0</v>
      </c>
      <c r="AB150" s="5">
        <f>COUNTIFS(  A4:A1440,"2022", D4:D1440,"Ingeniería Neuronal y Sistemas Integrados Bioinspirados")</f>
        <v>0</v>
      </c>
      <c r="AC150" s="19">
        <f>COUNTIFS(   N4:N1440,"2018", D4:D1440,"Ingeniería Neuronal y Sistemas Integrados Bioinspirados")</f>
        <v>1</v>
      </c>
      <c r="AD150" s="5">
        <f>COUNTIFS(   N4:N1440,"2019", D4:D1440,"Ingeniería Neuronal y Sistemas Integrados Bioinspirados")</f>
        <v>2</v>
      </c>
      <c r="AE150" s="5">
        <f>COUNTIFS(   N4:N1440,"2020", D4:D1440,"Ingeniería Neuronal y Sistemas Integrados Bioinspirados")</f>
        <v>0</v>
      </c>
      <c r="AF150" s="5">
        <f>COUNTIFS(   N4:N1440,"2021", D4:D1440,"Ingeniería Neuronal y Sistemas Integrados Bioinspirados")</f>
        <v>0</v>
      </c>
      <c r="AG150" s="5">
        <f>COUNTIFS(   N4:N1440,"2022", D4:D1440,"Ingeniería Neuronal y Sistemas Integrados Bioinspirados")</f>
        <v>0</v>
      </c>
      <c r="AH150" s="5">
        <f>COUNTIFS(   D4:D1440,"Ingeniería Neuronal y Sistemas Integrados Bioinspirados",G4:G1440,"Sí")</f>
        <v>0</v>
      </c>
      <c r="AI150" s="5">
        <f>COUNTIFS(   D4:D1440,"Ingeniería Neuronal y Sistemas Integrados Bioinspirados",G4:G1440,"No")</f>
        <v>3</v>
      </c>
      <c r="AJ150" s="5">
        <f>SUMIFS( E4:E1440, D4:D1440,"Ingeniería Neuronal y Sistemas Integrados Bioinspirados",G4:G1440,"Sí")</f>
        <v>0</v>
      </c>
      <c r="AK150" s="5">
        <f>SUMIFS( E4:E1440, D4:D1440,"Ingeniería Neuronal y Sistemas Integrados Bioinspirados",G4:G1440,"No")</f>
        <v>12</v>
      </c>
      <c r="AL150" s="5">
        <f>COUNTIFS(   D4:D1440,"Ingeniería Neuronal y Sistemas Integrados Bioinspirados",H4:H1440,"Sí")</f>
        <v>3</v>
      </c>
      <c r="AM150" s="5">
        <f>COUNTIFS(   D4:D1440,"Ingeniería Neuronal y Sistemas Integrados Bioinspirados",I4:I1440,"Sí")</f>
        <v>2</v>
      </c>
      <c r="AN150" s="5">
        <f>COUNTIFS(   D4:D1440,"Ingeniería Neuronal y Sistemas Integrados Bioinspirados",I4:I1440,"No")</f>
        <v>1</v>
      </c>
      <c r="AO150" s="5">
        <f>SUMIFS( E4:E1440, D4:D1440,"Ingeniería Neuronal y Sistemas Integrados Bioinspirados",I4:I1440,"Sí")</f>
        <v>11</v>
      </c>
      <c r="AP150" s="5">
        <f>SUMIFS( E4:E1440, D4:D1440,"Ingeniería Neuronal y Sistemas Integrados Bioinspirados",I4:I1440,"No")</f>
        <v>1</v>
      </c>
      <c r="AQ150" s="5">
        <f>COUNTIFS(   D4:D1440,"Ingeniería Neuronal y Sistemas Integrados Bioinspirados",J4:J1440,"Sí")</f>
        <v>3</v>
      </c>
      <c r="AR150" s="5">
        <f>COUNTIFS(   D4:D1440,"Ingeniería Neuronal y Sistemas Integrados Bioinspirados",K4:K1440,"Sí")</f>
        <v>3</v>
      </c>
      <c r="AS150" s="5">
        <f>COUNTIFS(   D4:D1440,"Ingeniería Neuronal y Sistemas Integrados Bioinspirados",L4:L1440,"Sí")</f>
        <v>0</v>
      </c>
      <c r="AT150" s="5">
        <f>SUMIFS( E4:E1440, D4:D1440,"Ingeniería Neuronal y Sistemas Integrados Bioinspirados")</f>
        <v>12</v>
      </c>
      <c r="AU150" s="5">
        <f>SUMIFS( E4:E1440, F4:F1440,"Hombre", D4:D1440,"Ingeniería Neuronal y Sistemas Integrados Bioinspirados")</f>
        <v>12</v>
      </c>
      <c r="AV150" s="5">
        <f>SUMIFS( E4:E1440, F4:F1440,"Mujer", D4:D1440,"Ingeniería Neuronal y Sistemas Integrados Bioinspirados")</f>
        <v>0</v>
      </c>
      <c r="AW150" s="19">
        <f>SUMIFS( E4:E1440, A4:A1440,"2018", D4:D1440,"Ingeniería Neuronal y Sistemas Integrados Bioinspirados")</f>
        <v>9</v>
      </c>
      <c r="AX150" s="5">
        <f>SUMIFS( E4:E1440, A4:A1440,"2019", D4:D1440,"Ingeniería Neuronal y Sistemas Integrados Bioinspirados")</f>
        <v>3</v>
      </c>
      <c r="AY150" s="5">
        <f>SUMIFS( E4:E1440, A4:A1440,"2020", D4:D1440,"Ingeniería Neuronal y Sistemas Integrados Bioinspirados")</f>
        <v>0</v>
      </c>
      <c r="AZ150" s="5">
        <f>SUMIFS( E4:E1440, A4:A1440,"2021", D4:D1440,"Ingeniería Neuronal y Sistemas Integrados Bioinspirados")</f>
        <v>0</v>
      </c>
      <c r="BA150" s="5">
        <f>SUMIFS( E4:E1440, A4:A1440,"2022", D4:D1440,"Ingeniería Neuronal y Sistemas Integrados Bioinspirados")</f>
        <v>0</v>
      </c>
      <c r="BB150" s="19">
        <f>SUMIFS( E4:E1440, N4:N1440,"2018", D4:D1440,"Ingeniería Neuronal y Sistemas Integrados Bioinspirados")</f>
        <v>9</v>
      </c>
      <c r="BC150" s="5">
        <f>SUMIFS( E4:E1440, N4:N1440,"2019", D4:D1440,"Ingeniería Neuronal y Sistemas Integrados Bioinspirados")</f>
        <v>3</v>
      </c>
      <c r="BD150" s="5">
        <f>SUMIFS( E4:E1440, N4:N1440,"2020", D4:D1440,"Ingeniería Neuronal y Sistemas Integrados Bioinspirados")</f>
        <v>0</v>
      </c>
      <c r="BE150" s="5">
        <f>SUMIFS( E4:E1440, N4:N1440,"2021", D4:D1440,"Ingeniería Neuronal y Sistemas Integrados Bioinspirados")</f>
        <v>0</v>
      </c>
      <c r="BF150" s="5">
        <f>SUMIFS( E4:E1440, N4:N1440,"2022", D4:D1440,"Ingeniería Neuronal y Sistemas Integrados Bioinspirados")</f>
        <v>0</v>
      </c>
      <c r="BG150" s="14">
        <f>AVERAGEIFS( E4:E1440, D4:D1440,"Ingeniería Neuronal y Sistemas Integrados Bioinspirados")</f>
        <v>4</v>
      </c>
      <c r="BH150" s="14"/>
      <c r="BI150" s="14"/>
      <c r="BJ150" s="14"/>
      <c r="BK150" s="14"/>
      <c r="BL150" s="37"/>
      <c r="BM150" s="14"/>
      <c r="BN150" s="14"/>
      <c r="BO150" s="14"/>
      <c r="BP150" s="14"/>
      <c r="BQ150" s="14"/>
      <c r="BR150" s="14"/>
    </row>
    <row r="151" spans="1:70" ht="15" customHeight="1">
      <c r="A151" s="24">
        <v>2018</v>
      </c>
      <c r="B151" s="24" t="s">
        <v>136</v>
      </c>
      <c r="C151" s="24" t="s">
        <v>160</v>
      </c>
      <c r="D151" s="24" t="s">
        <v>165</v>
      </c>
      <c r="E151" s="23">
        <v>1</v>
      </c>
      <c r="F151" s="24" t="s">
        <v>207</v>
      </c>
      <c r="G151" s="24" t="s">
        <v>225</v>
      </c>
      <c r="H151" s="23" t="s">
        <v>226</v>
      </c>
      <c r="I151" s="24" t="s">
        <v>225</v>
      </c>
      <c r="J151" s="23" t="s">
        <v>226</v>
      </c>
      <c r="K151" s="24" t="s">
        <v>226</v>
      </c>
      <c r="L151" s="23"/>
      <c r="M151" s="25">
        <v>43503</v>
      </c>
      <c r="N151" s="24">
        <v>2019</v>
      </c>
      <c r="O151" s="51" t="s">
        <v>304</v>
      </c>
      <c r="P151" s="52"/>
      <c r="Q151" s="52"/>
      <c r="R151" s="52"/>
      <c r="S151" s="52"/>
      <c r="T151" s="53"/>
      <c r="U151" s="5">
        <f>COUNTIFS(   D4:D1440,"Computación de Altas Prestaciones y sus aplicaciones")</f>
        <v>4</v>
      </c>
      <c r="V151" s="5">
        <f>COUNTIFS(   D4:D1440,"Computación de Altas Prestaciones y sus aplicaciones",F4:F1440,"Hombre")</f>
        <v>2</v>
      </c>
      <c r="W151" s="5">
        <f>COUNTIFS(   D4:D1440,"Computación de Altas Prestaciones y sus aplicaciones",F4:F1440,"Mujer")</f>
        <v>2</v>
      </c>
      <c r="X151" s="19">
        <f>COUNTIFS(   A4:A1440,"2018", D4:D1440,"Computación de Altas Prestaciones y sus aplicaciones")</f>
        <v>1</v>
      </c>
      <c r="Y151" s="5">
        <f>COUNTIFS(   A4:A1440,"2019", D4:D1440,"Computación de Altas Prestaciones y sus aplicaciones")</f>
        <v>2</v>
      </c>
      <c r="Z151" s="5">
        <f>COUNTIFS(   A4:A1440,"2020", D4:D1440,"Computación de Altas Prestaciones y sus aplicaciones")</f>
        <v>0</v>
      </c>
      <c r="AA151" s="5">
        <f>COUNTIFS(   A4:A1440,"2021", D4:D1440,"Computación de Altas Prestaciones y sus aplicaciones")</f>
        <v>1</v>
      </c>
      <c r="AB151" s="5">
        <f>COUNTIFS(  A4:A1440,"2022", D4:D1440,"Computación de Altas Prestaciones y sus aplicaciones")</f>
        <v>0</v>
      </c>
      <c r="AC151" s="19">
        <f>COUNTIFS(   N4:N1440,"2018", D4:D1440,"Computación de Altas Prestaciones y sus aplicaciones")</f>
        <v>0</v>
      </c>
      <c r="AD151" s="5">
        <f>COUNTIFS(   N4:N1440,"2019", D4:D1440,"Computación de Altas Prestaciones y sus aplicaciones")</f>
        <v>1</v>
      </c>
      <c r="AE151" s="5">
        <f>COUNTIFS(   N4:N1440,"2020", D4:D1440,"Computación de Altas Prestaciones y sus aplicaciones")</f>
        <v>2</v>
      </c>
      <c r="AF151" s="5">
        <f>COUNTIFS(   N4:N1440,"2021", D4:D1440,"Computación de Altas Prestaciones y sus aplicaciones")</f>
        <v>1</v>
      </c>
      <c r="AG151" s="5">
        <f>COUNTIFS(   N4:N1440,"2022", D4:D1440,"Computación de Altas Prestaciones y sus aplicaciones")</f>
        <v>0</v>
      </c>
      <c r="AH151" s="5">
        <f>COUNTIFS(   D4:D1440,"Computación de Altas Prestaciones y sus aplicaciones",G4:G1440,"Sí")</f>
        <v>0</v>
      </c>
      <c r="AI151" s="5">
        <f>COUNTIFS(   D4:D1440,"Computación de Altas Prestaciones y sus aplicaciones",G4:G1440,"No")</f>
        <v>4</v>
      </c>
      <c r="AJ151" s="5">
        <f>SUMIFS( E4:E1440, D4:D1440,"Computación de Altas Prestaciones y sus aplicaciones",G4:G1440,"Sí")</f>
        <v>0</v>
      </c>
      <c r="AK151" s="5">
        <f>SUMIFS( E4:E1440, D4:D1440,"Computación de Altas Prestaciones y sus aplicaciones",G4:G1440,"No")</f>
        <v>5</v>
      </c>
      <c r="AL151" s="5">
        <f>COUNTIFS(   D4:D1440,"Computación de Altas Prestaciones y sus aplicaciones",H4:H1440,"Sí")</f>
        <v>3</v>
      </c>
      <c r="AM151" s="5">
        <f>COUNTIFS(   D4:D1440,"Computación de Altas Prestaciones y sus aplicaciones",I4:I1440,"Sí")</f>
        <v>1</v>
      </c>
      <c r="AN151" s="5">
        <f>COUNTIFS(   D4:D1440,"Computación de Altas Prestaciones y sus aplicaciones",I4:I1440,"No")</f>
        <v>3</v>
      </c>
      <c r="AO151" s="5">
        <f>SUMIFS( E4:E1440, D4:D1440,"Computación de Altas Prestaciones y sus aplicaciones",I4:I1440,"Sí")</f>
        <v>0</v>
      </c>
      <c r="AP151" s="5">
        <f>SUMIFS( E4:E1440, D4:D1440,"Computación de Altas Prestaciones y sus aplicaciones",I4:I1440,"No")</f>
        <v>5</v>
      </c>
      <c r="AQ151" s="5">
        <f>COUNTIFS(   D4:D1440,"Computación de Altas Prestaciones y sus aplicaciones",J4:J1440,"Sí")</f>
        <v>4</v>
      </c>
      <c r="AR151" s="5">
        <f>COUNTIFS(   D4:D1440,"Computación de Altas Prestaciones y sus aplicaciones",K4:K1440,"Sí")</f>
        <v>1</v>
      </c>
      <c r="AS151" s="5">
        <f>COUNTIFS(   D4:D1440,"Computación de Altas Prestaciones y sus aplicaciones",L4:L1440,"Sí")</f>
        <v>0</v>
      </c>
      <c r="AT151" s="5">
        <f>SUMIFS( E4:E1440, D4:D1440,"Computación de Altas Prestaciones y sus aplicaciones")</f>
        <v>5</v>
      </c>
      <c r="AU151" s="5">
        <f>SUMIFS( E4:E1440, F4:F1440,"Hombre", D4:D1440,"Computación de Altas Prestaciones y sus aplicaciones")</f>
        <v>3</v>
      </c>
      <c r="AV151" s="5">
        <f>SUMIFS( E4:E1440, F4:F1440,"Mujer", D4:D1440,"Computación de Altas Prestaciones y sus aplicaciones")</f>
        <v>2</v>
      </c>
      <c r="AW151" s="19">
        <f>SUMIFS( E4:E1440, A4:A1440,"2018", D4:D1440,"Computación de Altas Prestaciones y sus aplicaciones")</f>
        <v>3</v>
      </c>
      <c r="AX151" s="5">
        <f>SUMIFS( E4:E1440, A4:A1440,"2019", D4:D1440,"Computación de Altas Prestaciones y sus aplicaciones")</f>
        <v>1</v>
      </c>
      <c r="AY151" s="5">
        <f>SUMIFS( E4:E1440, A4:A1440,"2020", D4:D1440,"Computación de Altas Prestaciones y sus aplicaciones")</f>
        <v>0</v>
      </c>
      <c r="AZ151" s="5">
        <f>SUMIFS( E4:E1440, A4:A1440,"2021", D4:D1440,"Computación de Altas Prestaciones y sus aplicaciones")</f>
        <v>1</v>
      </c>
      <c r="BA151" s="5">
        <f>SUMIFS( E4:E1440, A4:A1440,"2022", D4:D1440,"Computación de Altas Prestaciones y sus aplicaciones")</f>
        <v>0</v>
      </c>
      <c r="BB151" s="19">
        <f>SUMIFS( E4:E1440, N4:N1440,"2018", D4:D1440,"Computación de Altas Prestaciones y sus aplicaciones")</f>
        <v>0</v>
      </c>
      <c r="BC151" s="5">
        <f>SUMIFS( E4:E1440, N4:N1440,"2019", D4:D1440,"Computación de Altas Prestaciones y sus aplicaciones")</f>
        <v>3</v>
      </c>
      <c r="BD151" s="5">
        <f>SUMIFS( E4:E1440, N4:N1440,"2020", D4:D1440,"Computación de Altas Prestaciones y sus aplicaciones")</f>
        <v>1</v>
      </c>
      <c r="BE151" s="5">
        <f>SUMIFS( E4:E1440, N4:N1440,"2021", D4:D1440,"Computación de Altas Prestaciones y sus aplicaciones")</f>
        <v>1</v>
      </c>
      <c r="BF151" s="5">
        <f>SUMIFS( E4:E1440, N4:N1440,"2022", D4:D1440,"Computación de Altas Prestaciones y sus aplicaciones")</f>
        <v>0</v>
      </c>
      <c r="BG151" s="14">
        <f>AVERAGEIFS( E4:E1440, D4:D1440,"Computación de Altas Prestaciones y sus aplicaciones")</f>
        <v>1.6666666666666667</v>
      </c>
      <c r="BH151" s="14"/>
      <c r="BI151" s="14"/>
      <c r="BJ151" s="14"/>
      <c r="BK151" s="14"/>
      <c r="BL151" s="37"/>
      <c r="BM151" s="14"/>
      <c r="BN151" s="14"/>
      <c r="BO151" s="14"/>
      <c r="BP151" s="14"/>
      <c r="BQ151" s="14"/>
      <c r="BR151" s="14"/>
    </row>
    <row r="152" spans="1:70" ht="15" customHeight="1">
      <c r="A152" s="24">
        <v>2018</v>
      </c>
      <c r="B152" s="24" t="s">
        <v>4</v>
      </c>
      <c r="C152" s="24" t="s">
        <v>5</v>
      </c>
      <c r="D152" s="24" t="s">
        <v>10</v>
      </c>
      <c r="E152" s="23">
        <v>1</v>
      </c>
      <c r="F152" s="24" t="s">
        <v>211</v>
      </c>
      <c r="G152" s="24" t="s">
        <v>225</v>
      </c>
      <c r="H152" s="23" t="s">
        <v>226</v>
      </c>
      <c r="I152" s="24" t="s">
        <v>226</v>
      </c>
      <c r="J152" s="23" t="s">
        <v>226</v>
      </c>
      <c r="K152" s="24" t="s">
        <v>226</v>
      </c>
      <c r="L152" s="23"/>
      <c r="M152" s="26" t="s">
        <v>303</v>
      </c>
      <c r="N152" s="24">
        <v>2019</v>
      </c>
      <c r="O152" s="51" t="s">
        <v>402</v>
      </c>
      <c r="P152" s="52"/>
      <c r="Q152" s="52"/>
      <c r="R152" s="52"/>
      <c r="S152" s="52"/>
      <c r="T152" s="53"/>
      <c r="U152" s="5">
        <f>COUNTIFS(   D4:D1440,"Nanoelectrónica. Aplicaciones TIC")</f>
        <v>4</v>
      </c>
      <c r="V152" s="5">
        <f>COUNTIFS(   D4:D1440,"Nanoelectrónica. Aplicaciones TIC",F4:F1440,"Hombre")</f>
        <v>4</v>
      </c>
      <c r="W152" s="5">
        <f>COUNTIFS(   D4:D1440,"Nanoelectrónica. Aplicaciones TIC",F4:F1440,"Mujer")</f>
        <v>0</v>
      </c>
      <c r="X152" s="19">
        <f>COUNTIFS(   A4:A1440,"2018", D4:D1440,"Nanoelectrónica. Aplicaciones TIC")</f>
        <v>0</v>
      </c>
      <c r="Y152" s="5">
        <f>COUNTIFS(   A4:A1440,"2019", D4:D1440,"Nanoelectrónica. Aplicaciones TIC")</f>
        <v>2</v>
      </c>
      <c r="Z152" s="5">
        <f>COUNTIFS(   A4:A1440,"2020", D4:D1440,"Nanoelectrónica. Aplicaciones TIC")</f>
        <v>1</v>
      </c>
      <c r="AA152" s="5">
        <f>COUNTIFS(   A4:A1440,"2021", D4:D1440,"Nanoelectrónica. Aplicaciones TIC")</f>
        <v>1</v>
      </c>
      <c r="AB152" s="5">
        <f>COUNTIFS(  A4:A1440,"2022", D4:D1440,"Nanoelectrónica. Aplicaciones TIC")</f>
        <v>0</v>
      </c>
      <c r="AC152" s="19">
        <f>COUNTIFS(   N4:N1440,"2018", D4:D1440,"Nanoelectrónica. Aplicaciones TIC")</f>
        <v>0</v>
      </c>
      <c r="AD152" s="5">
        <f>COUNTIFS(   N4:N1440,"2019", D4:D1440,"Nanoelectrónica. Aplicaciones TIC")</f>
        <v>1</v>
      </c>
      <c r="AE152" s="5">
        <f>COUNTIFS(   N4:N1440,"2020", D4:D1440,"Nanoelectrónica. Aplicaciones TIC")</f>
        <v>2</v>
      </c>
      <c r="AF152" s="5">
        <f>COUNTIFS(   N4:N1440,"2021", D4:D1440,"Nanoelectrónica. Aplicaciones TIC")</f>
        <v>0</v>
      </c>
      <c r="AG152" s="5">
        <f>COUNTIFS(   N4:N1440,"2022", D4:D1440,"Nanoelectrónica. Aplicaciones TIC")</f>
        <v>1</v>
      </c>
      <c r="AH152" s="5">
        <f>COUNTIFS(   D4:D1440,"Nanoelectrónica. Aplicaciones TIC",G4:G1440,"Sí")</f>
        <v>0</v>
      </c>
      <c r="AI152" s="5">
        <f>COUNTIFS(   D4:D1440,"Nanoelectrónica. Aplicaciones TIC",G4:G1440,"No")</f>
        <v>4</v>
      </c>
      <c r="AJ152" s="5">
        <f>SUMIFS( E4:E1440, D4:D1440,"Nanoelectrónica. Aplicaciones TIC",G4:G1440,"Sí")</f>
        <v>0</v>
      </c>
      <c r="AK152" s="5">
        <f>SUMIFS( E4:E1440, D4:D1440,"Nanoelectrónica. Aplicaciones TIC",G4:G1440,"No")</f>
        <v>17</v>
      </c>
      <c r="AL152" s="5">
        <f>COUNTIFS(   D4:D1440,"Nanoelectrónica. Aplicaciones TIC",H4:H1440,"Sí")</f>
        <v>3</v>
      </c>
      <c r="AM152" s="5">
        <f>COUNTIFS(   D4:D1440,"Nanoelectrónica. Aplicaciones TIC",I4:I1440,"Sí")</f>
        <v>1</v>
      </c>
      <c r="AN152" s="5">
        <f>COUNTIFS(   D4:D1440,"Nanoelectrónica. Aplicaciones TIC",I4:I1440,"No")</f>
        <v>3</v>
      </c>
      <c r="AO152" s="5">
        <f>SUMIFS( E4:E1440, D4:D1440,"Nanoelectrónica. Aplicaciones TIC",I4:I1440,"Sí")</f>
        <v>12</v>
      </c>
      <c r="AP152" s="5">
        <f>SUMIFS( E4:E1440, D4:D1440,"Nanoelectrónica. Aplicaciones TIC",I4:I1440,"No")</f>
        <v>5</v>
      </c>
      <c r="AQ152" s="5">
        <f>COUNTIFS(   D4:D1440,"Nanoelectrónica. Aplicaciones TIC",J4:J1440,"Sí")</f>
        <v>4</v>
      </c>
      <c r="AR152" s="5">
        <f>COUNTIFS(   D4:D1440,"Nanoelectrónica. Aplicaciones TIC",K4:K1440,"Sí")</f>
        <v>2</v>
      </c>
      <c r="AS152" s="5">
        <f>COUNTIFS(   D4:D1440,"Nanoelectrónica. Aplicaciones TIC",L4:L1440,"Sí")</f>
        <v>0</v>
      </c>
      <c r="AT152" s="5">
        <f>SUMIFS( E4:E1440, D4:D1440,"Nanoelectrónica. Aplicaciones TIC")</f>
        <v>17</v>
      </c>
      <c r="AU152" s="5">
        <f>SUMIFS( E4:E1440, F4:F1440,"Hombre", D4:D1440,"Nanoelectrónica. Aplicaciones TIC")</f>
        <v>17</v>
      </c>
      <c r="AV152" s="5">
        <f>SUMIFS( E4:E1440, F4:F1440,"Mujer", D4:D1440,"Nanoelectrónica. Aplicaciones TIC")</f>
        <v>0</v>
      </c>
      <c r="AW152" s="19">
        <f>SUMIFS( E4:E1440, A4:A1440,"2018", D4:D1440,"Nanoelectrónica. Aplicaciones TIC")</f>
        <v>0</v>
      </c>
      <c r="AX152" s="5">
        <f>SUMIFS( E4:E1440, A4:A1440,"2019", D4:D1440,"Nanoelectrónica. Aplicaciones TIC")</f>
        <v>3</v>
      </c>
      <c r="AY152" s="5">
        <f>SUMIFS( E4:E1440, A4:A1440,"2020", D4:D1440,"Nanoelectrónica. Aplicaciones TIC")</f>
        <v>2</v>
      </c>
      <c r="AZ152" s="5">
        <f>SUMIFS( E4:E1440, A4:A1440,"2021", D4:D1440,"Nanoelectrónica. Aplicaciones TIC")</f>
        <v>12</v>
      </c>
      <c r="BA152" s="5">
        <f>SUMIFS( E4:E1440, A4:A1440,"2022", D4:D1440,"Nanoelectrónica. Aplicaciones TIC")</f>
        <v>0</v>
      </c>
      <c r="BB152" s="19">
        <f>SUMIFS( E4:E1440, N4:N1440,"2018", D4:D1440,"Nanoelectrónica. Aplicaciones TIC")</f>
        <v>0</v>
      </c>
      <c r="BC152" s="5">
        <f>SUMIFS( E4:E1440, N4:N1440,"2019", D4:D1440,"Nanoelectrónica. Aplicaciones TIC")</f>
        <v>0</v>
      </c>
      <c r="BD152" s="5">
        <f>SUMIFS( E4:E1440, N4:N1440,"2020", D4:D1440,"Nanoelectrónica. Aplicaciones TIC")</f>
        <v>5</v>
      </c>
      <c r="BE152" s="5">
        <f>SUMIFS( E4:E1440, N4:N1440,"2021", D4:D1440,"Nanoelectrónica. Aplicaciones TIC")</f>
        <v>0</v>
      </c>
      <c r="BF152" s="5">
        <f>SUMIFS( E4:E1440, N4:N1440,"2022", D4:D1440,"Nanoelectrónica. Aplicaciones TIC")</f>
        <v>12</v>
      </c>
      <c r="BG152" s="14">
        <f>AVERAGEIFS( E4:E1440, D4:D1440,"Nanoelectrónica. Aplicaciones TIC")</f>
        <v>5.666666666666667</v>
      </c>
      <c r="BH152" s="14"/>
      <c r="BI152" s="14"/>
      <c r="BJ152" s="14"/>
      <c r="BK152" s="14"/>
      <c r="BL152" s="37"/>
      <c r="BM152" s="14"/>
      <c r="BN152" s="14"/>
      <c r="BO152" s="14"/>
      <c r="BP152" s="14"/>
      <c r="BQ152" s="14"/>
      <c r="BR152" s="14"/>
    </row>
    <row r="153" spans="1:70" ht="15" customHeight="1">
      <c r="A153" s="24">
        <v>2018</v>
      </c>
      <c r="B153" s="24" t="s">
        <v>136</v>
      </c>
      <c r="C153" s="24" t="s">
        <v>137</v>
      </c>
      <c r="D153" s="24" t="s">
        <v>141</v>
      </c>
      <c r="E153" s="23">
        <v>9</v>
      </c>
      <c r="F153" s="24" t="s">
        <v>207</v>
      </c>
      <c r="G153" s="24" t="s">
        <v>225</v>
      </c>
      <c r="H153" s="23" t="s">
        <v>226</v>
      </c>
      <c r="I153" s="24" t="s">
        <v>225</v>
      </c>
      <c r="J153" s="23" t="s">
        <v>226</v>
      </c>
      <c r="K153" s="24" t="s">
        <v>226</v>
      </c>
      <c r="L153" s="23"/>
      <c r="M153" s="26" t="s">
        <v>303</v>
      </c>
      <c r="N153" s="24">
        <v>2019</v>
      </c>
      <c r="O153" s="51" t="s">
        <v>516</v>
      </c>
      <c r="P153" s="52"/>
      <c r="Q153" s="52"/>
      <c r="R153" s="52"/>
      <c r="S153" s="52"/>
      <c r="T153" s="53"/>
      <c r="U153" s="5">
        <f>COUNTIFS(   D4:D1440,"Computación Ubicua e Inteligencia Ambiental")</f>
        <v>1</v>
      </c>
      <c r="V153" s="5">
        <f>COUNTIFS(   D4:D1440,"Computación Ubicua e Inteligencia Ambiental",F4:F1440,"Hombre")</f>
        <v>1</v>
      </c>
      <c r="W153" s="5">
        <f>COUNTIFS(   D4:D1440,"Computación Ubicua e Inteligencia Ambiental",F4:F1440,"Mujer")</f>
        <v>0</v>
      </c>
      <c r="X153" s="19">
        <f>COUNTIFS(   A4:A1440,"2018", D4:D1440,"Computación Ubicua e Inteligencia Ambiental")</f>
        <v>0</v>
      </c>
      <c r="Y153" s="5">
        <f>COUNTIFS(   A4:A1440,"2019", D4:D1440,"Computación Ubicua e Inteligencia Ambiental")</f>
        <v>0</v>
      </c>
      <c r="Z153" s="5">
        <f>COUNTIFS(   A4:A1440,"2020", D4:D1440,"Computación Ubicua e Inteligencia Ambiental")</f>
        <v>1</v>
      </c>
      <c r="AA153" s="5">
        <f>COUNTIFS(   A4:A1440,"2021", D4:D1440,"Computación Ubicua e Inteligencia Ambiental")</f>
        <v>0</v>
      </c>
      <c r="AB153" s="5">
        <f>COUNTIFS(  A4:A1440,"2022", D4:D1440,"Computación Ubicua e Inteligencia Ambiental")</f>
        <v>0</v>
      </c>
      <c r="AC153" s="19">
        <f>COUNTIFS(   N4:N1440,"2018", D4:D1440,"Computación Ubicua e Inteligencia Ambiental")</f>
        <v>0</v>
      </c>
      <c r="AD153" s="5">
        <f>COUNTIFS(   N4:N1440,"2019", D4:D1440,"Computación Ubicua e Inteligencia Ambiental")</f>
        <v>0</v>
      </c>
      <c r="AE153" s="5">
        <f>COUNTIFS(   N4:N1440,"2020", D4:D1440,"Computación Ubicua e Inteligencia Ambiental")</f>
        <v>1</v>
      </c>
      <c r="AF153" s="5">
        <f>COUNTIFS(   N4:N1440,"2021", D4:D1440,"Computación Ubicua e Inteligencia Ambiental")</f>
        <v>0</v>
      </c>
      <c r="AG153" s="5">
        <f>COUNTIFS(   N4:N1440,"2022", D4:D1440,"Computación Ubicua e Inteligencia Ambiental")</f>
        <v>0</v>
      </c>
      <c r="AH153" s="5">
        <f>COUNTIFS(   D4:D1440,"Computación Ubicua e Inteligencia Ambiental",G4:G1440,"Sí")</f>
        <v>0</v>
      </c>
      <c r="AI153" s="5">
        <f>COUNTIFS(   D4:D1440,"Computación Ubicua e Inteligencia Ambiental",G4:G1440,"No")</f>
        <v>1</v>
      </c>
      <c r="AJ153" s="5">
        <f>SUMIFS( E4:E1440, D4:D1440,"Computación Ubicua e Inteligencia Ambiental",G4:G1440,"Sí")</f>
        <v>0</v>
      </c>
      <c r="AK153" s="5">
        <f>SUMIFS( E4:E1440, D4:D1440,"Computación Ubicua e Inteligencia Ambiental",G4:G1440,"No")</f>
        <v>1</v>
      </c>
      <c r="AL153" s="5">
        <f>COUNTIFS(   D4:D1440,"Computación Ubicua e Inteligencia Ambiental",H4:H1440,"Sí")</f>
        <v>1</v>
      </c>
      <c r="AM153" s="5">
        <f>COUNTIFS(   D4:D1440,"Computación Ubicua e Inteligencia Ambiental",I4:I1440,"Sí")</f>
        <v>1</v>
      </c>
      <c r="AN153" s="5">
        <f>COUNTIFS(   D4:D1440,"Computación Ubicua e Inteligencia Ambiental",I4:I1440,"No")</f>
        <v>0</v>
      </c>
      <c r="AO153" s="5">
        <f>SUMIFS( E4:E1440, D4:D1440,"Computación Ubicua e Inteligencia Ambiental",I4:I1440,"Sí")</f>
        <v>1</v>
      </c>
      <c r="AP153" s="5">
        <f>SUMIFS( E4:E1440, D4:D1440,"Computación Ubicua e Inteligencia Ambiental",I4:I1440,"No")</f>
        <v>0</v>
      </c>
      <c r="AQ153" s="5">
        <f>COUNTIFS(   D4:D1440,"Computación Ubicua e Inteligencia Ambiental",J4:J1440,"Sí")</f>
        <v>1</v>
      </c>
      <c r="AR153" s="5">
        <f>COUNTIFS(   D4:D1440,"Computación Ubicua e Inteligencia Ambiental",K4:K1440,"Sí")</f>
        <v>0</v>
      </c>
      <c r="AS153" s="5">
        <f>COUNTIFS(   D4:D1440,"Computación Ubicua e Inteligencia Ambiental",L4:L1440,"Sí")</f>
        <v>0</v>
      </c>
      <c r="AT153" s="5">
        <f>SUMIFS( E4:E1440, D4:D1440,"Computación Ubicua e Inteligencia Ambiental")</f>
        <v>1</v>
      </c>
      <c r="AU153" s="5">
        <f>SUMIFS( E4:E1440, F4:F1440,"Hombre", D4:D1440,"Computación Ubicua e Inteligencia Ambiental")</f>
        <v>1</v>
      </c>
      <c r="AV153" s="5">
        <f>SUMIFS( E4:E1440, F4:F1440,"Mujer", D4:D1440,"Computación Ubicua e Inteligencia Ambiental")</f>
        <v>0</v>
      </c>
      <c r="AW153" s="19">
        <f>SUMIFS( E4:E1440, A4:A1440,"2018", D4:D1440,"Computación Ubicua e Inteligencia Ambiental")</f>
        <v>0</v>
      </c>
      <c r="AX153" s="5">
        <f>SUMIFS( E4:E1440, A4:A1440,"2019", D4:D1440,"Computación Ubicua e Inteligencia Ambiental")</f>
        <v>0</v>
      </c>
      <c r="AY153" s="5">
        <f>SUMIFS( E4:E1440, A4:A1440,"2020", D4:D1440,"Computación Ubicua e Inteligencia Ambiental")</f>
        <v>1</v>
      </c>
      <c r="AZ153" s="5">
        <f>SUMIFS( E4:E1440, A4:A1440,"2021", D4:D1440,"Computación Ubicua e Inteligencia Ambiental")</f>
        <v>0</v>
      </c>
      <c r="BA153" s="5">
        <f>SUMIFS( E4:E1440, A4:A1440,"2022", D4:D1440,"Computación Ubicua e Inteligencia Ambiental")</f>
        <v>0</v>
      </c>
      <c r="BB153" s="19">
        <f>SUMIFS( E4:E1440, N4:N1440,"2018", D4:D1440,"Computación Ubicua e Inteligencia Ambiental")</f>
        <v>0</v>
      </c>
      <c r="BC153" s="5">
        <f>SUMIFS( E4:E1440, N4:N1440,"2019", D4:D1440,"Computación Ubicua e Inteligencia Ambiental")</f>
        <v>0</v>
      </c>
      <c r="BD153" s="5">
        <f>SUMIFS( E4:E1440, N4:N1440,"2020", D4:D1440,"Computación Ubicua e Inteligencia Ambiental")</f>
        <v>1</v>
      </c>
      <c r="BE153" s="5">
        <f>SUMIFS( E4:E1440, N4:N1440,"2021", D4:D1440,"Computación Ubicua e Inteligencia Ambiental")</f>
        <v>0</v>
      </c>
      <c r="BF153" s="5">
        <f>SUMIFS( E4:E1440, N4:N1440,"2022", D4:D1440,"Computación Ubicua e Inteligencia Ambiental")</f>
        <v>0</v>
      </c>
      <c r="BG153" s="14">
        <f>AVERAGEIFS( E4:E1440, D4:D1440,"Computación Ubicua e Inteligencia Ambiental")</f>
        <v>1</v>
      </c>
      <c r="BH153" s="14"/>
      <c r="BI153" s="14"/>
      <c r="BJ153" s="14"/>
      <c r="BK153" s="14"/>
      <c r="BL153" s="37"/>
      <c r="BM153" s="14"/>
      <c r="BN153" s="14"/>
      <c r="BO153" s="14"/>
      <c r="BP153" s="14"/>
      <c r="BQ153" s="14"/>
      <c r="BR153" s="14"/>
    </row>
    <row r="154" spans="1:70" ht="15" customHeight="1">
      <c r="A154" s="24">
        <v>2018</v>
      </c>
      <c r="B154" s="24" t="s">
        <v>136</v>
      </c>
      <c r="C154" s="24" t="s">
        <v>189</v>
      </c>
      <c r="D154" s="24" t="s">
        <v>259</v>
      </c>
      <c r="E154" s="23"/>
      <c r="F154" s="24" t="s">
        <v>207</v>
      </c>
      <c r="G154" s="24" t="s">
        <v>225</v>
      </c>
      <c r="H154" s="23" t="s">
        <v>225</v>
      </c>
      <c r="I154" s="24" t="s">
        <v>226</v>
      </c>
      <c r="J154" s="23" t="s">
        <v>226</v>
      </c>
      <c r="K154" s="24" t="s">
        <v>226</v>
      </c>
      <c r="L154" s="23"/>
      <c r="M154" s="26" t="s">
        <v>303</v>
      </c>
      <c r="N154" s="24">
        <v>2019</v>
      </c>
      <c r="O154" s="51" t="s">
        <v>248</v>
      </c>
      <c r="P154" s="52"/>
      <c r="Q154" s="52"/>
      <c r="R154" s="52"/>
      <c r="S154" s="52"/>
      <c r="T154" s="53"/>
      <c r="U154" s="5">
        <f>COUNTIFS(   D5:D1441,"Sensores e Instrumentación. Sistemas electrónicos reconfigurables y Electrónica imprimible")</f>
        <v>7</v>
      </c>
      <c r="V154" s="5">
        <f>COUNTIFS(   D5:D1441,"Sensores e Instrumentación. Sistemas electrónicos reconfigurables y Electrónica imprimible",F5:F1441,"Hombre")</f>
        <v>7</v>
      </c>
      <c r="W154" s="5">
        <f>COUNTIFS(   D5:D1441,"Sensores e Instrumentación. Sistemas electrónicos reconfigurables y Electrónica imprimible",F5:F1441,"Mujer")</f>
        <v>0</v>
      </c>
      <c r="X154" s="19">
        <f>COUNTIFS(   A5:A1441,"2018", D5:D1441,"Sensores e Instrumentación. Sistemas electrónicos reconfigurables y Electrónica imprimible")</f>
        <v>1</v>
      </c>
      <c r="Y154" s="5">
        <f>COUNTIFS(   A5:A1441,"2019", D5:D1441,"Sensores e Instrumentación. Sistemas electrónicos reconfigurables y Electrónica imprimible")</f>
        <v>1</v>
      </c>
      <c r="Z154" s="5">
        <f>COUNTIFS(   A5:A1441,"2020", D5:D1441,"Sensores e Instrumentación. Sistemas electrónicos reconfigurables y Electrónica imprimible")</f>
        <v>2</v>
      </c>
      <c r="AA154" s="5">
        <f>COUNTIFS(   A5:A1441,"2021", D5:D1441,"Sensores e Instrumentación. Sistemas electrónicos reconfigurables y Electrónica imprimible")</f>
        <v>3</v>
      </c>
      <c r="AB154" s="5">
        <f>COUNTIFS(  A5:A1441,"2022", D5:D1441,"Sensores e Instrumentación. Sistemas electrónicos reconfigurables y Electrónica imprimible")</f>
        <v>0</v>
      </c>
      <c r="AC154" s="19">
        <f>COUNTIFS(   N5:N1441,"2018", D5:D1441,"Sensores e Instrumentación. Sistemas electrónicos reconfigurables y Electrónica imprimible")</f>
        <v>1</v>
      </c>
      <c r="AD154" s="5">
        <f>COUNTIFS(   N5:N1441,"2019", D5:D1441,"Sensores e Instrumentación. Sistemas electrónicos reconfigurables y Electrónica imprimible")</f>
        <v>1</v>
      </c>
      <c r="AE154" s="5">
        <f>COUNTIFS(   N5:N1441,"2020", D5:D1441,"Sensores e Instrumentación. Sistemas electrónicos reconfigurables y Electrónica imprimible")</f>
        <v>1</v>
      </c>
      <c r="AF154" s="5">
        <f>COUNTIFS(   N5:N1441,"2021", D5:D1441,"Sensores e Instrumentación. Sistemas electrónicos reconfigurables y Electrónica imprimible")</f>
        <v>2</v>
      </c>
      <c r="AG154" s="5">
        <f>COUNTIFS(   N5:N1441,"2022", D5:D1441,"Sensores e Instrumentación. Sistemas electrónicos reconfigurables y Electrónica imprimible")</f>
        <v>2</v>
      </c>
      <c r="AH154" s="5">
        <f>COUNTIFS(   D5:D1441,"Sensores e Instrumentación. Sistemas electrónicos reconfigurables y Electrónica imprimible",G5:G1441,"Sí")</f>
        <v>0</v>
      </c>
      <c r="AI154" s="5">
        <f>COUNTIFS(   D5:D1441,"Sensores e Instrumentación. Sistemas electrónicos reconfigurables y Electrónica imprimible",G5:G1441,"No")</f>
        <v>7</v>
      </c>
      <c r="AJ154" s="5">
        <f>SUMIFS( E5:E1441, D5:D1441,"Sensores e Instrumentación. Sistemas electrónicos reconfigurables y Electrónica imprimible",G5:G1441,"Sí")</f>
        <v>0</v>
      </c>
      <c r="AK154" s="5">
        <f>SUMIFS( E5:E1441, D5:D1441,"Sensores e Instrumentación. Sistemas electrónicos reconfigurables y Electrónica imprimible",G5:G1441,"No")</f>
        <v>20</v>
      </c>
      <c r="AL154" s="5">
        <f>COUNTIFS(   D5:D1441,"Sensores e Instrumentación. Sistemas electrónicos reconfigurables y Electrónica imprimible",H5:H1441,"Sí")</f>
        <v>5</v>
      </c>
      <c r="AM154" s="5">
        <f>COUNTIFS(   D5:D1441,"Sensores e Instrumentación. Sistemas electrónicos reconfigurables y Electrónica imprimible",I5:I1441,"Sí")</f>
        <v>3</v>
      </c>
      <c r="AN154" s="5">
        <f>COUNTIFS(   D5:D1441,"Sensores e Instrumentación. Sistemas electrónicos reconfigurables y Electrónica imprimible",I5:I1441,"No")</f>
        <v>4</v>
      </c>
      <c r="AO154" s="5">
        <f>SUMIFS( E5:E1441, D5:D1441,"Sensores e Instrumentación. Sistemas electrónicos reconfigurables y Electrónica imprimible",I5:I1441,"Sí")</f>
        <v>3</v>
      </c>
      <c r="AP154" s="5">
        <f>SUMIFS( E5:E1441, D5:D1441,"Sensores e Instrumentación. Sistemas electrónicos reconfigurables y Electrónica imprimible",I5:I1441,"No")</f>
        <v>17</v>
      </c>
      <c r="AQ154" s="5">
        <f>COUNTIFS(   D5:D1441,"Sensores e Instrumentación. Sistemas electrónicos reconfigurables y Electrónica imprimible",J5:J1441,"Sí")</f>
        <v>7</v>
      </c>
      <c r="AR154" s="5">
        <f>COUNTIFS(   D5:D1441,"Sensores e Instrumentación. Sistemas electrónicos reconfigurables y Electrónica imprimible",K5:K1441,"Sí")</f>
        <v>2</v>
      </c>
      <c r="AS154" s="5">
        <f>COUNTIFS(   D5:D1441,"Sensores e Instrumentación. Sistemas electrónicos reconfigurables y Electrónica imprimible",L5:L1441,"Sí")</f>
        <v>0</v>
      </c>
      <c r="AT154" s="5">
        <f>SUMIFS( E5:E1441, D5:D1441,"Sensores e Instrumentación. Sistemas electrónicos reconfigurables y Electrónica imprimible")</f>
        <v>20</v>
      </c>
      <c r="AU154" s="5">
        <f>SUMIFS( E5:E1441, F5:F1441,"Hombre", D5:D1441,"Sensores e Instrumentación. Sistemas electrónicos reconfigurables y Electrónica imprimible")</f>
        <v>20</v>
      </c>
      <c r="AV154" s="5">
        <f>SUMIFS( E5:E1441, F5:F1441,"Mujer", D5:D1441,"Sensores e Instrumentación. Sistemas electrónicos reconfigurables y Electrónica imprimible")</f>
        <v>0</v>
      </c>
      <c r="AW154" s="19">
        <f>SUMIFS( E5:E1441, A5:A1441,"2018", D5:D1441,"Sensores e Instrumentación. Sistemas electrónicos reconfigurables y Electrónica imprimible")</f>
        <v>3</v>
      </c>
      <c r="AX154" s="5">
        <f>SUMIFS( E5:E1441, A5:A1441,"2019", D5:D1441,"Sensores e Instrumentación. Sistemas electrónicos reconfigurables y Electrónica imprimible")</f>
        <v>0</v>
      </c>
      <c r="AY154" s="5">
        <f>SUMIFS( E5:E1441, A5:A1441,"2020", D5:D1441,"Sensores e Instrumentación. Sistemas electrónicos reconfigurables y Electrónica imprimible")</f>
        <v>5</v>
      </c>
      <c r="AZ154" s="5">
        <f>SUMIFS( E5:E1441, A5:A1441,"2021", D5:D1441,"Sensores e Instrumentación. Sistemas electrónicos reconfigurables y Electrónica imprimible")</f>
        <v>12</v>
      </c>
      <c r="BA154" s="5">
        <f>SUMIFS( E5:E1441, A5:A1441,"2022", D5:D1441,"Sensores e Instrumentación. Sistemas electrónicos reconfigurables y Electrónica imprimible")</f>
        <v>0</v>
      </c>
      <c r="BB154" s="19">
        <f>SUMIFS( E5:E1441, N5:N1441,"2018", D5:D1441,"Sensores e Instrumentación. Sistemas electrónicos reconfigurables y Electrónica imprimible")</f>
        <v>3</v>
      </c>
      <c r="BC154" s="5">
        <f>SUMIFS( E5:E1441, N5:N1441,"2019", D5:D1441,"Sensores e Instrumentación. Sistemas electrónicos reconfigurables y Electrónica imprimible")</f>
        <v>0</v>
      </c>
      <c r="BD154" s="5">
        <f>SUMIFS( E5:E1441, N5:N1441,"2020", D5:D1441,"Sensores e Instrumentación. Sistemas electrónicos reconfigurables y Electrónica imprimible")</f>
        <v>5</v>
      </c>
      <c r="BE154" s="5">
        <f>SUMIFS( E5:E1441, N5:N1441,"2021", D5:D1441,"Sensores e Instrumentación. Sistemas electrónicos reconfigurables y Electrónica imprimible")</f>
        <v>8</v>
      </c>
      <c r="BF154" s="5">
        <f>SUMIFS( E5:E1441, N5:N1441,"2022", D5:D1441,"Sensores e Instrumentación. Sistemas electrónicos reconfigurables y Electrónica imprimible")</f>
        <v>4</v>
      </c>
      <c r="BG154" s="14">
        <f>AVERAGEIFS( E5:E1441, D5:D1441,"Sensores e Instrumentación. Sistemas electrónicos reconfigurables y Electrónica imprimible")</f>
        <v>4</v>
      </c>
      <c r="BH154" s="14"/>
      <c r="BI154" s="14"/>
      <c r="BJ154" s="14"/>
      <c r="BK154" s="14"/>
      <c r="BL154" s="37"/>
      <c r="BM154" s="14"/>
      <c r="BN154" s="14"/>
      <c r="BO154" s="14"/>
      <c r="BP154" s="14"/>
      <c r="BQ154" s="14"/>
      <c r="BR154" s="14"/>
    </row>
    <row r="155" spans="1:70">
      <c r="A155" s="24">
        <v>2018</v>
      </c>
      <c r="B155" s="24" t="s">
        <v>78</v>
      </c>
      <c r="C155" s="24" t="s">
        <v>681</v>
      </c>
      <c r="D155" s="24" t="s">
        <v>304</v>
      </c>
      <c r="E155" s="23">
        <v>3</v>
      </c>
      <c r="F155" s="24" t="s">
        <v>207</v>
      </c>
      <c r="G155" s="24" t="s">
        <v>225</v>
      </c>
      <c r="H155" s="23" t="s">
        <v>226</v>
      </c>
      <c r="I155" s="24" t="s">
        <v>225</v>
      </c>
      <c r="J155" s="23" t="s">
        <v>226</v>
      </c>
      <c r="K155" s="24" t="s">
        <v>226</v>
      </c>
      <c r="L155" s="23"/>
      <c r="M155" s="26" t="s">
        <v>305</v>
      </c>
      <c r="N155" s="24">
        <v>2019</v>
      </c>
      <c r="O155" s="67" t="s">
        <v>199</v>
      </c>
      <c r="P155" s="68"/>
      <c r="Q155" s="68"/>
      <c r="R155" s="68"/>
      <c r="S155" s="68"/>
      <c r="T155" s="69"/>
      <c r="U155" s="5">
        <f>COUNTIFS(   D4:D1440,"Sistemas de Información y Bases de datos")</f>
        <v>1</v>
      </c>
      <c r="V155" s="5">
        <f>COUNTIFS(   D4:D1440,"Sistemas de Información y Bases de datos",F4:F1440,"Hombre")</f>
        <v>1</v>
      </c>
      <c r="W155" s="5">
        <f>COUNTIFS(   D4:D1440,"Sistemas de Información y Bases de datos",F4:F1440,"Mujer")</f>
        <v>0</v>
      </c>
      <c r="X155" s="19">
        <v>0</v>
      </c>
      <c r="Y155" s="5">
        <v>0</v>
      </c>
      <c r="Z155" s="5">
        <v>0</v>
      </c>
      <c r="AA155" s="5">
        <v>0</v>
      </c>
      <c r="AB155" s="5">
        <v>0</v>
      </c>
      <c r="AC155" s="19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f>COUNTIFS(   D4:D1440,"Sistemas de Información y Bases de datos",G4:G1440,"Sí")</f>
        <v>0</v>
      </c>
      <c r="AI155" s="5">
        <f>COUNTIFS(   D4:D1440,"Sistemas de Información y Bases de datos",G4:G1440,"No")</f>
        <v>1</v>
      </c>
      <c r="AJ155" s="5">
        <f>SUMIFS( E4:E1440, D4:D1440,"Sistemas de Información y Bases de datos",G4:G1440,"Sí")</f>
        <v>0</v>
      </c>
      <c r="AK155" s="5">
        <f>SUMIFS( E4:E1440, D4:D1440,"Sistemas de Información y Bases de datos",G4:G1440,"No")</f>
        <v>7</v>
      </c>
      <c r="AL155" s="5">
        <f>COUNTIFS(   D4:D1440,"Sistemas de Información y Bases de datos",H4:H1440,"Sí")</f>
        <v>1</v>
      </c>
      <c r="AM155" s="5">
        <f>COUNTIFS(   D4:D1440,"Sistemas de Información y Bases de datos",I4:I1440,"Sí")</f>
        <v>0</v>
      </c>
      <c r="AN155" s="5">
        <f>COUNTIFS(   D4:D1440,"Sistemas de Información y Bases de datos",I4:I1440,"No")</f>
        <v>1</v>
      </c>
      <c r="AO155" s="5">
        <f>SUMIFS( E4:E1440, D4:D1440,"Sistemas de Información y Bases de datos",I4:I1440,"Sí")</f>
        <v>0</v>
      </c>
      <c r="AP155" s="5">
        <f>SUMIFS( E4:E1440, D4:D1440,"Sistemas de Información y Bases de datos",I4:I1440,"No")</f>
        <v>7</v>
      </c>
      <c r="AQ155" s="5">
        <f>COUNTIFS(   D4:D1440,"Sistemas de Información y Bases de datos",J4:J1440,"Sí")</f>
        <v>1</v>
      </c>
      <c r="AR155" s="5">
        <f>COUNTIFS(   D4:D1440,"Sistemas de Información y Bases de datos",K4:K1440,"Sí")</f>
        <v>0</v>
      </c>
      <c r="AS155" s="5">
        <f>COUNTIFS(   D4:D1440,"Sistemas de Información y Bases de datos",L4:L1440,"Sí")</f>
        <v>0</v>
      </c>
      <c r="AT155" s="5">
        <f>SUMIFS( E4:E1440, D4:D1440,"Sistemas de Información y Bases de datos")</f>
        <v>7</v>
      </c>
      <c r="AU155" s="5">
        <v>0</v>
      </c>
      <c r="AV155" s="5">
        <v>0</v>
      </c>
      <c r="AW155" s="19">
        <v>0</v>
      </c>
      <c r="AX155" s="5">
        <v>0</v>
      </c>
      <c r="AY155" s="5">
        <v>0</v>
      </c>
      <c r="AZ155" s="5">
        <v>0</v>
      </c>
      <c r="BA155" s="5">
        <v>0</v>
      </c>
      <c r="BB155" s="19">
        <v>0</v>
      </c>
      <c r="BC155" s="5">
        <v>0</v>
      </c>
      <c r="BD155" s="5">
        <v>0</v>
      </c>
      <c r="BE155" s="5">
        <v>0</v>
      </c>
      <c r="BF155" s="5">
        <v>0</v>
      </c>
      <c r="BG155" s="14">
        <f>AVERAGEIFS( E4:E1440, D4:D1440,"Sistemas de Información y Bases de datos")</f>
        <v>7</v>
      </c>
      <c r="BH155" s="14">
        <v>0</v>
      </c>
      <c r="BI155" s="14">
        <v>0</v>
      </c>
      <c r="BJ155" s="14">
        <v>0</v>
      </c>
      <c r="BK155" s="14">
        <v>0</v>
      </c>
      <c r="BL155" s="37">
        <v>0</v>
      </c>
      <c r="BM155" s="14">
        <v>0</v>
      </c>
      <c r="BN155" s="14">
        <v>0</v>
      </c>
      <c r="BO155" s="14">
        <v>0</v>
      </c>
      <c r="BP155" s="14">
        <v>0</v>
      </c>
      <c r="BQ155" s="14">
        <v>0</v>
      </c>
      <c r="BR155" s="14">
        <v>0</v>
      </c>
    </row>
    <row r="156" spans="1:70" ht="15" customHeight="1">
      <c r="A156" s="24">
        <v>2018</v>
      </c>
      <c r="B156" s="24" t="s">
        <v>136</v>
      </c>
      <c r="C156" s="24" t="s">
        <v>160</v>
      </c>
      <c r="D156" s="24" t="s">
        <v>306</v>
      </c>
      <c r="E156" s="23">
        <v>3</v>
      </c>
      <c r="F156" s="24" t="s">
        <v>207</v>
      </c>
      <c r="G156" s="24" t="s">
        <v>225</v>
      </c>
      <c r="H156" s="23" t="s">
        <v>226</v>
      </c>
      <c r="I156" s="24" t="s">
        <v>226</v>
      </c>
      <c r="J156" s="23" t="s">
        <v>226</v>
      </c>
      <c r="K156" s="24" t="s">
        <v>226</v>
      </c>
      <c r="L156" s="23"/>
      <c r="M156" s="26" t="s">
        <v>305</v>
      </c>
      <c r="N156" s="24">
        <v>2019</v>
      </c>
      <c r="O156" s="67" t="s">
        <v>132</v>
      </c>
      <c r="P156" s="68"/>
      <c r="Q156" s="68"/>
      <c r="R156" s="68"/>
      <c r="S156" s="68"/>
      <c r="T156" s="69"/>
      <c r="U156" s="5">
        <f>COUNTIFS(   D4:D1440,"Sistemas Inteligentes de Ayuda a la Decisión")</f>
        <v>1</v>
      </c>
      <c r="V156" s="5">
        <f>COUNTIFS(   D4:D1440,"Sistemas Inteligentes de Ayuda a la Decisión",F4:F1440,"Hombre")</f>
        <v>0</v>
      </c>
      <c r="W156" s="5">
        <f>COUNTIFS(   D4:D1440,"Sistemas Inteligentes de Ayuda a la Decisión",F4:F1440,"Mujer")</f>
        <v>1</v>
      </c>
      <c r="X156" s="19">
        <f>COUNTIFS(   A4:A1440,"2018", D4:D1440,"Sistemas Inteligentes de Ayuda a la Decisión")</f>
        <v>0</v>
      </c>
      <c r="Y156" s="5">
        <f>COUNTIFS(   A4:A1440,"2019", D4:D1440,"Sistemas Inteligentes de Ayuda a la Decisión")</f>
        <v>0</v>
      </c>
      <c r="Z156" s="5">
        <f>COUNTIFS(   A4:A1440,"2020", D4:D1440,"Sistemas Inteligentes de Ayuda a la Decisión")</f>
        <v>0</v>
      </c>
      <c r="AA156" s="5">
        <f>COUNTIFS(   A4:A1440,"2021", D4:D1440,"Sistemas Inteligentes de Ayuda a la Decisión")</f>
        <v>1</v>
      </c>
      <c r="AB156" s="5">
        <f>COUNTIFS(  A4:A1440,"2022", D4:D1440,"Sistemas Inteligentes de Ayuda a la Decisión")</f>
        <v>0</v>
      </c>
      <c r="AC156" s="19">
        <f>COUNTIFS(   N4:N1440,"2018", D4:D1440,"Sistemas Inteligentes de Ayuda a la Decisión")</f>
        <v>0</v>
      </c>
      <c r="AD156" s="5">
        <f>COUNTIFS(   N4:N1440,"2019", D4:D1440,"Sistemas Inteligentes de Ayuda a la Decisión")</f>
        <v>0</v>
      </c>
      <c r="AE156" s="5">
        <f>COUNTIFS(   N4:N1440,"2020", D4:D1440,"Sistemas Inteligentes de Ayuda a la Decisión")</f>
        <v>0</v>
      </c>
      <c r="AF156" s="5">
        <f>COUNTIFS(   N4:N1440,"2021", D4:D1440,"Sistemas Inteligentes de Ayuda a la Decisión")</f>
        <v>0</v>
      </c>
      <c r="AG156" s="5">
        <f>COUNTIFS(   N4:N1440,"2022", D4:D1440,"Sistemas Inteligentes de Ayuda a la Decisión")</f>
        <v>1</v>
      </c>
      <c r="AH156" s="5">
        <f>COUNTIFS(   D4:D1440,"Sistemas Inteligentes de Ayuda a la Decisión",G4:G1440,"Sí")</f>
        <v>1</v>
      </c>
      <c r="AI156" s="5">
        <f>COUNTIFS(   D4:D1440,"Sistemas Inteligentes de Ayuda a la Decisión",G4:G1440,"No")</f>
        <v>0</v>
      </c>
      <c r="AJ156" s="5">
        <f>SUMIFS( E4:E1440, D4:D1440,"Sistemas Inteligentes de Ayuda a la Decisión",G4:G1440,"Sí")</f>
        <v>5</v>
      </c>
      <c r="AK156" s="5">
        <f>SUMIFS( E4:E1440, D4:D1440,"Sistemas Inteligentes de Ayuda a la Decisión",G4:G1440,"No")</f>
        <v>0</v>
      </c>
      <c r="AL156" s="5">
        <f>COUNTIFS(   D4:D1440,"Sistemas Inteligentes de Ayuda a la Decisión",H4:H1440,"Sí")</f>
        <v>1</v>
      </c>
      <c r="AM156" s="5">
        <f>COUNTIFS(   D4:D1440,"Sistemas Inteligentes de Ayuda a la Decisión",I4:I1440,"Sí")</f>
        <v>0</v>
      </c>
      <c r="AN156" s="5">
        <f>COUNTIFS(   D4:D1440,"Sistemas Inteligentes de Ayuda a la Decisión",I4:I1440,"No")</f>
        <v>1</v>
      </c>
      <c r="AO156" s="5">
        <f>SUMIFS( E4:E1440, D4:D1440,"Sistemas Inteligentes de Ayuda a la Decisión",I4:I1440,"Sí")</f>
        <v>0</v>
      </c>
      <c r="AP156" s="5">
        <f>SUMIFS( E4:E1440, D4:D1440,"Sistemas Inteligentes de Ayuda a la Decisión",I4:I1440,"No")</f>
        <v>5</v>
      </c>
      <c r="AQ156" s="5">
        <f>COUNTIFS(   D4:D1440,"Sistemas Inteligentes de Ayuda a la Decisión",J4:J1440,"Sí")</f>
        <v>1</v>
      </c>
      <c r="AR156" s="5">
        <f>COUNTIFS(   D4:D1440,"Sistemas Inteligentes de Ayuda a la Decisión",K4:K1440,"Sí")</f>
        <v>0</v>
      </c>
      <c r="AS156" s="5">
        <f>COUNTIFS(   D4:D1440,"Sistemas Inteligentes de Ayuda a la Decisión",L4:L1440,"Sí")</f>
        <v>0</v>
      </c>
      <c r="AT156" s="5">
        <f>SUMIFS( E4:E1440, D4:D1440,"Sistemas Inteligentes de Ayuda a la Decisión")</f>
        <v>5</v>
      </c>
      <c r="AU156" s="5">
        <f>SUMIFS( E4:E1440, F4:F1440,"Hombre", D4:D1440,"Sistemas Inteligentes de Ayuda a la Decisión")</f>
        <v>0</v>
      </c>
      <c r="AV156" s="5">
        <f>SUMIFS( E4:E1440, F4:F1440,"Mujer", D4:D1440,"Sistemas Inteligentes de Ayuda a la Decisión")</f>
        <v>5</v>
      </c>
      <c r="AW156" s="19">
        <f>SUMIFS( E4:E1440, A4:A1440,"2018", D4:D1440,"Sistemas Inteligentes de Ayuda a la Decisión")</f>
        <v>0</v>
      </c>
      <c r="AX156" s="5">
        <f>SUMIFS( E4:E1440, A4:A1440,"2019", D4:D1440,"Sistemas Inteligentes de Ayuda a la Decisión")</f>
        <v>0</v>
      </c>
      <c r="AY156" s="5">
        <f>SUMIFS( E4:E1440, A4:A1440,"2020", D4:D1440,"Sistemas Inteligentes de Ayuda a la Decisión")</f>
        <v>0</v>
      </c>
      <c r="AZ156" s="5">
        <f>SUMIFS( E4:E1440, A4:A1440,"2021", D4:D1440,"Sistemas Inteligentes de Ayuda a la Decisión")</f>
        <v>5</v>
      </c>
      <c r="BA156" s="5">
        <f>SUMIFS( E4:E1440, A4:A1440,"2022", D4:D1440,"Sistemas Inteligentes de Ayuda a la Decisión")</f>
        <v>0</v>
      </c>
      <c r="BB156" s="19">
        <f>SUMIFS( E4:E1440, N4:N1440,"2018", D4:D1440,"Sistemas Inteligentes de Ayuda a la Decisión")</f>
        <v>0</v>
      </c>
      <c r="BC156" s="5">
        <f>SUMIFS( E4:E1440, N4:N1440,"2019", D4:D1440,"Sistemas Inteligentes de Ayuda a la Decisión")</f>
        <v>0</v>
      </c>
      <c r="BD156" s="5">
        <f>SUMIFS( E4:E1440, N4:N1440,"2020", D4:D1440,"Sistemas Inteligentes de Ayuda a la Decisión")</f>
        <v>0</v>
      </c>
      <c r="BE156" s="5">
        <f>SUMIFS( E4:E1440, N4:N1440,"2021", D4:D1440,"Sistemas Inteligentes de Ayuda a la Decisión")</f>
        <v>0</v>
      </c>
      <c r="BF156" s="5">
        <f>SUMIFS( E4:E1440, N4:N1440,"2022", D4:D1440,"Sistemas Inteligentes de Ayuda a la Decisión")</f>
        <v>5</v>
      </c>
      <c r="BG156" s="14">
        <f>AVERAGEIFS( E4:E1440, D4:D1440,"Sistemas Inteligentes de Ayuda a la Decisión")</f>
        <v>5</v>
      </c>
      <c r="BH156" s="14">
        <v>0</v>
      </c>
      <c r="BI156" s="14">
        <v>0</v>
      </c>
      <c r="BJ156" s="14">
        <v>0</v>
      </c>
      <c r="BK156" s="14">
        <f>AVERAGEIFS( E4:E1440, A4:A1440,"2021", D4:D1440,"Sistemas Inteligentes de Ayuda a la Decisión")</f>
        <v>5</v>
      </c>
      <c r="BL156" s="37">
        <v>0</v>
      </c>
      <c r="BM156" s="14">
        <v>4</v>
      </c>
      <c r="BN156" s="14">
        <v>0</v>
      </c>
      <c r="BO156" s="14">
        <v>0</v>
      </c>
      <c r="BP156" s="14">
        <v>0</v>
      </c>
      <c r="BQ156" s="14">
        <v>4</v>
      </c>
      <c r="BR156" s="14">
        <v>0</v>
      </c>
    </row>
    <row r="157" spans="1:70" ht="15" customHeight="1">
      <c r="A157" s="24">
        <v>2018</v>
      </c>
      <c r="B157" s="24" t="s">
        <v>4</v>
      </c>
      <c r="C157" s="24" t="s">
        <v>203</v>
      </c>
      <c r="D157" s="24" t="s">
        <v>42</v>
      </c>
      <c r="E157" s="23">
        <v>8</v>
      </c>
      <c r="F157" s="24" t="s">
        <v>211</v>
      </c>
      <c r="G157" s="23" t="s">
        <v>226</v>
      </c>
      <c r="H157" s="23" t="s">
        <v>226</v>
      </c>
      <c r="I157" s="24" t="s">
        <v>225</v>
      </c>
      <c r="J157" s="23" t="s">
        <v>226</v>
      </c>
      <c r="K157" s="24" t="s">
        <v>225</v>
      </c>
      <c r="L157" s="23"/>
      <c r="M157" s="26" t="s">
        <v>307</v>
      </c>
      <c r="N157" s="24">
        <v>2019</v>
      </c>
      <c r="O157" s="67" t="s">
        <v>131</v>
      </c>
      <c r="P157" s="68"/>
      <c r="Q157" s="68"/>
      <c r="R157" s="68"/>
      <c r="S157" s="68"/>
      <c r="T157" s="69"/>
      <c r="U157" s="5">
        <f>COUNTIFS(   D4:D1440,"Soft computing")</f>
        <v>9</v>
      </c>
      <c r="V157" s="5">
        <f>COUNTIFS(   D4:D1440,"Soft computing",F4:F1440,"Hombre")</f>
        <v>5</v>
      </c>
      <c r="W157" s="5">
        <f>COUNTIFS(   D4:D1440,"Soft computing",F4:F1440,"Mujer")</f>
        <v>4</v>
      </c>
      <c r="X157" s="19">
        <f>COUNTIFS(   A4:A1440,"2018", D4:D1440,"Soft computing")</f>
        <v>2</v>
      </c>
      <c r="Y157" s="5">
        <f>COUNTIFS(   A4:A1440,"2019", D4:D1440,"Soft computing")</f>
        <v>5</v>
      </c>
      <c r="Z157" s="5">
        <f>COUNTIFS(   A4:A1440,"2020", D4:D1440,"Soft computing")</f>
        <v>0</v>
      </c>
      <c r="AA157" s="5">
        <f>COUNTIFS(   A4:A1440,"2021", D4:D1440,"Soft computing")</f>
        <v>2</v>
      </c>
      <c r="AB157" s="5">
        <f>COUNTIFS(  A4:A1440,"2022", D4:D1440,"Soft computing")</f>
        <v>0</v>
      </c>
      <c r="AC157" s="19">
        <f>COUNTIFS(   N4:N1440,"2018", D4:D1440,"Soft computing")</f>
        <v>1</v>
      </c>
      <c r="AD157" s="5">
        <f>COUNTIFS(   N4:N1440,"2019", D4:D1440,"Soft computing")</f>
        <v>5</v>
      </c>
      <c r="AE157" s="5">
        <f>COUNTIFS(   N4:N1440,"2020", D4:D1440,"Soft computing")</f>
        <v>1</v>
      </c>
      <c r="AF157" s="5">
        <f>COUNTIFS(   N4:N1440,"2021", D4:D1440,"Soft computing")</f>
        <v>1</v>
      </c>
      <c r="AG157" s="5">
        <f>COUNTIFS(   N4:N1440,"2022", D4:D1440,"Soft computing")</f>
        <v>1</v>
      </c>
      <c r="AH157" s="5">
        <f>COUNTIFS(   D4:D1440,"Soft computing",G4:G1440,"Sí")</f>
        <v>0</v>
      </c>
      <c r="AI157" s="5">
        <f>COUNTIFS(   D4:D1440,"Soft computing",G4:G1440,"No")</f>
        <v>9</v>
      </c>
      <c r="AJ157" s="5">
        <f>SUMIFS( E4:E1440, D4:D1440,"Soft computing",G4:G1440,"Sí")</f>
        <v>0</v>
      </c>
      <c r="AK157" s="5">
        <f>SUMIFS( E4:E1440, D4:D1440,"Soft computing",G4:G1440,"No")</f>
        <v>325</v>
      </c>
      <c r="AL157" s="5">
        <f>COUNTIFS(   D4:D1440,"Soft computing",H4:H1440,"Sí")</f>
        <v>6</v>
      </c>
      <c r="AM157" s="5">
        <f>COUNTIFS(   D4:D1440,"Soft computing",I4:I1440,"Sí")</f>
        <v>3</v>
      </c>
      <c r="AN157" s="5">
        <f>COUNTIFS(   D4:D1440,"Soft computing",I4:I1440,"No")</f>
        <v>6</v>
      </c>
      <c r="AO157" s="5">
        <f>SUMIFS( E4:E1440, D4:D1440,"Soft computing",I4:I1440,"Sí")</f>
        <v>0</v>
      </c>
      <c r="AP157" s="5">
        <f>SUMIFS( E4:E1440, D4:D1440,"Soft computing",I4:I1440,"No")</f>
        <v>325</v>
      </c>
      <c r="AQ157" s="5">
        <f>COUNTIFS(   D4:D1440,"Soft computing",J4:J1440,"Sí")</f>
        <v>9</v>
      </c>
      <c r="AR157" s="5">
        <f>COUNTIFS(   D4:D1440,"Soft computing",K4:K1440,"Sí")</f>
        <v>5</v>
      </c>
      <c r="AS157" s="5">
        <f>COUNTIFS(   D4:D1440,"Soft computing",L4:L1440,"Sí")</f>
        <v>0</v>
      </c>
      <c r="AT157" s="5">
        <f>SUMIFS( E4:E1440, D4:D1440,"Soft computing")</f>
        <v>325</v>
      </c>
      <c r="AU157" s="5">
        <f>SUMIFS( E4:E1440, F4:F1440,"Hombre", D4:D1440,"Soft computing")</f>
        <v>56</v>
      </c>
      <c r="AV157" s="5">
        <f>SUMIFS( E4:E1440, F4:F1440,"Mujer", D4:D1440,"Soft computing")</f>
        <v>269</v>
      </c>
      <c r="AW157" s="19">
        <f>SUMIFS( E4:E1440, A4:A1440,"2018", D4:D1440,"Soft computing")</f>
        <v>265</v>
      </c>
      <c r="AX157" s="5">
        <f>SUMIFS( E4:E1440, A4:A1440,"2019", D4:D1440,"Soft computing")</f>
        <v>50</v>
      </c>
      <c r="AY157" s="5">
        <f>SUMIFS( E4:E1440, A4:A1440,"2020", D4:D1440,"Soft computing")</f>
        <v>0</v>
      </c>
      <c r="AZ157" s="5">
        <f>SUMIFS( E4:E1440, A4:A1440,"2021", D4:D1440,"Soft computing")</f>
        <v>10</v>
      </c>
      <c r="BA157" s="5">
        <f>SUMIFS( E4:E1440, A4:A1440,"2022", D4:D1440,"Soft computing")</f>
        <v>0</v>
      </c>
      <c r="BB157" s="19">
        <f>SUMIFS( E4:E1440, N4:N1440,"2018", D4:D1440,"Soft computing")</f>
        <v>265</v>
      </c>
      <c r="BC157" s="5">
        <f>SUMIFS( E4:E1440, N4:N1440,"2019", D4:D1440,"Soft computing")</f>
        <v>50</v>
      </c>
      <c r="BD157" s="5">
        <f>SUMIFS( E4:E1440, N4:N1440,"2020", D4:D1440,"Soft computing")</f>
        <v>0</v>
      </c>
      <c r="BE157" s="5">
        <f>SUMIFS( E4:E1440, N4:N1440,"2021", D4:D1440,"Soft computing")</f>
        <v>9</v>
      </c>
      <c r="BF157" s="5">
        <f>SUMIFS( E4:E1440, N4:N1440,"2022", D4:D1440,"Soft computing")</f>
        <v>1</v>
      </c>
      <c r="BG157" s="14">
        <f>AVERAGEIFS( E4:E1440, D4:D1440,"Soft computing")</f>
        <v>54.166666666666664</v>
      </c>
      <c r="BH157" s="14">
        <v>0</v>
      </c>
      <c r="BI157" s="14">
        <v>0</v>
      </c>
      <c r="BJ157" s="14" t="e">
        <f>AVERAGEIFS( E4:E1440, A4:A1440,"2020", D4:D1440,"Soft computing")</f>
        <v>#DIV/0!</v>
      </c>
      <c r="BK157" s="14">
        <f>AVERAGEIFS( E4:E1440, A4:A1440,"2021", D4:D1440,"Soft computing")</f>
        <v>5</v>
      </c>
      <c r="BL157" s="37" t="e">
        <f>AVERAGEIFS( E4:E1440, A4:A1440,"2022", D4:D1440,"Soft computing")</f>
        <v>#DIV/0!</v>
      </c>
      <c r="BM157" s="14">
        <v>1</v>
      </c>
      <c r="BN157" s="14">
        <v>0</v>
      </c>
      <c r="BO157" s="14">
        <v>0</v>
      </c>
      <c r="BP157" s="14">
        <v>4</v>
      </c>
      <c r="BQ157" s="14">
        <v>0</v>
      </c>
      <c r="BR157" s="14">
        <v>0</v>
      </c>
    </row>
    <row r="158" spans="1:70" ht="15" customHeight="1">
      <c r="A158" s="24">
        <v>2018</v>
      </c>
      <c r="B158" s="24" t="s">
        <v>136</v>
      </c>
      <c r="C158" s="24" t="s">
        <v>137</v>
      </c>
      <c r="D158" s="24" t="s">
        <v>142</v>
      </c>
      <c r="E158" s="23">
        <v>1</v>
      </c>
      <c r="F158" s="24" t="s">
        <v>207</v>
      </c>
      <c r="G158" s="24" t="s">
        <v>225</v>
      </c>
      <c r="H158" s="23" t="s">
        <v>226</v>
      </c>
      <c r="I158" s="24" t="s">
        <v>226</v>
      </c>
      <c r="J158" s="23" t="s">
        <v>226</v>
      </c>
      <c r="K158" s="24" t="s">
        <v>226</v>
      </c>
      <c r="L158" s="23"/>
      <c r="M158" s="26" t="s">
        <v>308</v>
      </c>
      <c r="N158" s="24">
        <v>2019</v>
      </c>
      <c r="O158" s="6" t="s">
        <v>212</v>
      </c>
      <c r="P158" s="7"/>
      <c r="Q158" s="7"/>
      <c r="R158" s="7"/>
      <c r="S158" s="7"/>
      <c r="T158" s="8"/>
      <c r="U158" s="3">
        <f>COUNTIFS(   B4:B1440,"Humanidades y Ciencias Sociales y Jurídicas")</f>
        <v>606</v>
      </c>
      <c r="V158" s="3">
        <f>COUNTIFS(   B4:B1440,"Humanidades y Ciencias Sociales y Jurídicas",F4:F1440,"Hombre")</f>
        <v>291</v>
      </c>
      <c r="W158" s="3">
        <f>COUNTIFS(   B4:B1440,"Humanidades y Ciencias Sociales y Jurídicas",F4:F1440,"Mujer")</f>
        <v>315</v>
      </c>
      <c r="X158" s="17">
        <f>COUNTIFS(   A4:A1440,"2018", B4:B1440,"Humanidades y Ciencias Sociales y Jurídicas")</f>
        <v>152</v>
      </c>
      <c r="Y158" s="3">
        <f>COUNTIFS(   A4:A1440,"2019", B4:B1440,"Humanidades y Ciencias Sociales y Jurídicas")</f>
        <v>144</v>
      </c>
      <c r="Z158" s="3">
        <f>COUNTIFS(   A4:A1440,"2020", B4:B1440,"Humanidades y Ciencias Sociales y Jurídicas")</f>
        <v>169</v>
      </c>
      <c r="AA158" s="3">
        <f>COUNTIFS(   A4:A1440,"2021", B4:B1440,"Humanidades y Ciencias Sociales y Jurídicas")</f>
        <v>141</v>
      </c>
      <c r="AB158" s="3">
        <f>COUNTIFS(   A4:A1440,"2022", B4:B1440,"Humanidades y Ciencias Sociales y Jurídicas")</f>
        <v>0</v>
      </c>
      <c r="AC158" s="17">
        <f>COUNTIFS(   N4:N1440,"2018", B4:B1440,"Humanidades y Ciencias Sociales y Jurídicas")</f>
        <v>51</v>
      </c>
      <c r="AD158" s="3">
        <f>COUNTIFS(   N4:N1440,"2019", B4:B1440,"Humanidades y Ciencias Sociales y Jurídicas")</f>
        <v>152</v>
      </c>
      <c r="AE158" s="3">
        <f>COUNTIFS(   N4:N1440,"2020", B4:B1440,"Humanidades y Ciencias Sociales y Jurídicas")</f>
        <v>136</v>
      </c>
      <c r="AF158" s="3">
        <f>COUNTIFS(   N4:N1440,"2021", B4:B1440,"Humanidades y Ciencias Sociales y Jurídicas")</f>
        <v>190</v>
      </c>
      <c r="AG158" s="3">
        <f>COUNTIFS(   N4:N1440,"2022", B4:B1440,"Humanidades y Ciencias Sociales y Jurídicas")</f>
        <v>77</v>
      </c>
      <c r="AH158" s="3">
        <f>COUNTIFS(   B4:B1440,"Humanidades y Ciencias Sociales y Jurídicas",G4:G1440,"Sí")</f>
        <v>36</v>
      </c>
      <c r="AI158" s="3">
        <f>COUNTIFS(   B4:B1440,"Humanidades y Ciencias Sociales y Jurídicas",G4:G1440,"No")</f>
        <v>570</v>
      </c>
      <c r="AJ158" s="3">
        <f>SUMIFS( E4:E1440, B4:B1440,"Humanidades y Ciencias Sociales y Jurídicas",G4:G1440,"Sí")</f>
        <v>131</v>
      </c>
      <c r="AK158" s="3">
        <f>SUMIFS( E4:E1440, B4:B1440,"Humanidades y Ciencias Sociales y Jurídicas",G4:G1440,"No")</f>
        <v>2063</v>
      </c>
      <c r="AL158" s="3">
        <f>COUNTIFS(   B4:B1440,"Humanidades y Ciencias Sociales y Jurídicas",H4:H1440,"Sí")</f>
        <v>428</v>
      </c>
      <c r="AM158" s="3">
        <f>COUNTIFS(   B4:B1440,"Humanidades y Ciencias Sociales y Jurídicas",I4:I1440,"Sí")</f>
        <v>232</v>
      </c>
      <c r="AN158" s="3">
        <f>COUNTIFS(   B4:B1440,"Humanidades y Ciencias Sociales y Jurídicas",I4:I1440,"No")</f>
        <v>374</v>
      </c>
      <c r="AO158" s="3">
        <f>SUMIFS( E4:E1440, B4:B1440,"Humanidades y Ciencias Sociales y Jurídicas",I4:I1440,"Sí")</f>
        <v>1126</v>
      </c>
      <c r="AP158" s="3">
        <f>SUMIFS( E4:E1440, B4:B1440,"Humanidades y Ciencias Sociales y Jurídicas",I4:I1440,"No")</f>
        <v>1068</v>
      </c>
      <c r="AQ158" s="3">
        <f>COUNTIFS(   B4:B1440,"Humanidades y Ciencias Sociales y Jurídicas",J4:J1440,"Sí")</f>
        <v>606</v>
      </c>
      <c r="AR158" s="3">
        <f>COUNTIFS(   B4:B1440,"Humanidades y Ciencias Sociales y Jurídicas",K4:K1440,"Sí")</f>
        <v>207</v>
      </c>
      <c r="AS158" s="3">
        <f>COUNTIFS(   B4:B1440,"Humanidades y Ciencias Sociales y Jurídicas",L4:L1440,"Sí")</f>
        <v>0</v>
      </c>
      <c r="AT158" s="3">
        <f>SUMIFS( E4:E1440, B4:B1440,"Humanidades y Ciencias Sociales y Jurídicas")</f>
        <v>2194</v>
      </c>
      <c r="AU158" s="3">
        <f>SUMIFS( E4:E1440, F4:F1440,"Hombre", B4:B1440,"Humanidades y Ciencias Sociales y Jurídicas")</f>
        <v>1122</v>
      </c>
      <c r="AV158" s="3">
        <f>SUMIFS( E4:E1440, F4:F1440,"Mujer", B4:B1440,"Humanidades y Ciencias Sociales y Jurídicas")</f>
        <v>1072</v>
      </c>
      <c r="AW158" s="17">
        <f>SUMIFS( E4:E1440, A4:A1440,"2018", B4:B1440,"Humanidades y Ciencias Sociales y Jurídicas")</f>
        <v>588</v>
      </c>
      <c r="AX158" s="3">
        <f>SUMIFS( E4:E1440, A4:A1440,"2019", B4:B1440,"Humanidades y Ciencias Sociales y Jurídicas")</f>
        <v>595</v>
      </c>
      <c r="AY158" s="3">
        <f>SUMIFS( E4:E1440, A4:A1440,"2020", B4:B1440,"Humanidades y Ciencias Sociales y Jurídicas")</f>
        <v>497</v>
      </c>
      <c r="AZ158" s="3">
        <f>SUMIFS( E4:E1440, A4:A1440,"2021", B4:B1440,"Humanidades y Ciencias Sociales y Jurídicas")</f>
        <v>514</v>
      </c>
      <c r="BA158" s="3">
        <f>SUMIFS( E4:E1440, A4:A1440,"2022", B4:B1440,"Humanidades y Ciencias Sociales y Jurídicas")</f>
        <v>0</v>
      </c>
      <c r="BB158" s="17">
        <f>SUMIFS( E4:E1440, N4:N1440,"2018", B4:B1440,"Humanidades y Ciencias Sociales y Jurídicas")</f>
        <v>280</v>
      </c>
      <c r="BC158" s="3">
        <f>SUMIFS( E4:E1440, N4:N1440,"2019", B4:B1440,"Humanidades y Ciencias Sociales y Jurídicas")</f>
        <v>505</v>
      </c>
      <c r="BD158" s="3">
        <f>SUMIFS( E4:E1440, N4:N1440,"2020", B4:B1440,"Humanidades y Ciencias Sociales y Jurídicas")</f>
        <v>559</v>
      </c>
      <c r="BE158" s="3">
        <f>SUMIFS( E4:E1440, N4:N1440,"2021", B4:B1440,"Humanidades y Ciencias Sociales y Jurídicas")</f>
        <v>524</v>
      </c>
      <c r="BF158" s="3">
        <f>SUMIFS( E4:E1440, N4:N1440,"2022", B4:B1440,"Humanidades y Ciencias Sociales y Jurídicas")</f>
        <v>326</v>
      </c>
      <c r="BG158" s="11">
        <f>AVERAGEIFS( E4:E1440, B4:B1440,"Humanidades y Ciencias Sociales y Jurídicas")</f>
        <v>4.8864142538975504</v>
      </c>
      <c r="BH158" s="11">
        <v>0</v>
      </c>
      <c r="BI158" s="11">
        <v>0</v>
      </c>
      <c r="BJ158" s="11">
        <f>AVERAGEIFS( E4:E1440, A4:A1440,"2020", B4:B1440,"Humanidades y Ciencias Sociales y Jurídicas")</f>
        <v>4.1416666666666666</v>
      </c>
      <c r="BK158" s="11">
        <f>AVERAGEIFS( E4:E1440, A4:A1440,"2021", B4:B1440,"Humanidades y Ciencias Sociales y Jurídicas")</f>
        <v>4.9423076923076925</v>
      </c>
      <c r="BL158" s="37" t="e">
        <f>AVERAGEIFS( E4:E1440, A4:A1440,"2022", B4:B1440,"Humanidades y Ciencias Sociales y Jurídicas")</f>
        <v>#DIV/0!</v>
      </c>
      <c r="BM158" s="11">
        <f>AVERAGE(AT159,AT169,AT178,AT189,AT200,AT202,AT206)</f>
        <v>223</v>
      </c>
      <c r="BN158" s="11">
        <v>0</v>
      </c>
      <c r="BO158" s="11">
        <v>0</v>
      </c>
      <c r="BP158" s="11">
        <f>AVERAGE(AY159,AY169,AY178,AY189,AY200,AY202,AY206)</f>
        <v>50.428571428571431</v>
      </c>
      <c r="BQ158" s="11">
        <f>AVERAGE(AZ159,AZ169,AZ178,AZ189,AZ200,AZ202,AZ206)</f>
        <v>57.142857142857146</v>
      </c>
      <c r="BR158" s="11">
        <f>AVERAGE(BA159,BA169,BA178,BA189,BA200,BA202,BA206)</f>
        <v>0</v>
      </c>
    </row>
    <row r="159" spans="1:70" ht="15" customHeight="1">
      <c r="A159" s="24">
        <v>2018</v>
      </c>
      <c r="B159" s="24" t="s">
        <v>136</v>
      </c>
      <c r="C159" s="24" t="s">
        <v>176</v>
      </c>
      <c r="D159" s="24" t="s">
        <v>177</v>
      </c>
      <c r="E159" s="28">
        <v>3</v>
      </c>
      <c r="F159" s="24" t="s">
        <v>207</v>
      </c>
      <c r="G159" s="23" t="s">
        <v>226</v>
      </c>
      <c r="H159" s="23" t="s">
        <v>225</v>
      </c>
      <c r="I159" s="24" t="s">
        <v>225</v>
      </c>
      <c r="J159" s="23" t="s">
        <v>226</v>
      </c>
      <c r="K159" s="24" t="s">
        <v>226</v>
      </c>
      <c r="L159" s="23"/>
      <c r="M159" s="26" t="s">
        <v>308</v>
      </c>
      <c r="N159" s="24">
        <v>2019</v>
      </c>
      <c r="O159" s="40" t="s">
        <v>69</v>
      </c>
      <c r="P159" s="43"/>
      <c r="Q159" s="43"/>
      <c r="R159" s="43"/>
      <c r="S159" s="43"/>
      <c r="T159" s="44"/>
      <c r="U159" s="4">
        <f>COUNTIFS(   C4:C1440,"Ciencias de la Educación")</f>
        <v>159</v>
      </c>
      <c r="V159" s="4">
        <f>COUNTIFS(   C4:C1440,"Ciencias de la Educación",F4:F1440,"Hombre")</f>
        <v>72</v>
      </c>
      <c r="W159" s="4">
        <f>COUNTIFS(   C4:C1440,"Ciencias de la Educación",F4:F1440,"Mujer")</f>
        <v>87</v>
      </c>
      <c r="X159" s="18">
        <f>COUNTIFS(   A4:A1440,"2018", C4:C1440,"Ciencias de la Educación")</f>
        <v>40</v>
      </c>
      <c r="Y159" s="4">
        <f>COUNTIFS(   A4:A1440,"2019", C4:C1440,"Ciencias de la Educación")</f>
        <v>33</v>
      </c>
      <c r="Z159" s="4">
        <f>COUNTIFS(   A4:A1440,"2020", C4:C1440,"Ciencias de la Educación")</f>
        <v>47</v>
      </c>
      <c r="AA159" s="4">
        <f>COUNTIFS(   A4:A1440,"2021", C4:C1440,"Ciencias de la Educación")</f>
        <v>39</v>
      </c>
      <c r="AB159" s="4">
        <f>COUNTIFS(   A4:A1440,"2022", C4:C1440,"Ciencias de la Educación")</f>
        <v>0</v>
      </c>
      <c r="AC159" s="18">
        <f>COUNTIFS(   N4:N1440,"2018", C4:C1440,"Ciencias de la Educación")</f>
        <v>16</v>
      </c>
      <c r="AD159" s="4">
        <f>COUNTIFS(   N4:N1440,"2019", C4:C1440,"Ciencias de la Educación")</f>
        <v>35</v>
      </c>
      <c r="AE159" s="4">
        <f>COUNTIFS(   N4:N1440,"2020", C4:C1440,"Ciencias de la Educación")</f>
        <v>35</v>
      </c>
      <c r="AF159" s="4">
        <f>COUNTIFS(   N4:N1440,"2021", C4:C1440,"Ciencias de la Educación")</f>
        <v>48</v>
      </c>
      <c r="AG159" s="4">
        <f>COUNTIFS(   N4:N1440,"2022", C4:C1440,"Ciencias de la Educación")</f>
        <v>25</v>
      </c>
      <c r="AH159" s="4">
        <f>COUNTIFS(   C4:C1440,"Ciencias de la Educación",G4:G1440,"Sí")</f>
        <v>3</v>
      </c>
      <c r="AI159" s="4">
        <f>COUNTIFS(   C4:C1440,"Ciencias de la Educación",G4:G1440,"No")</f>
        <v>156</v>
      </c>
      <c r="AJ159" s="4">
        <f>SUMIFS( E4:E1440, C4:C1440,"Ciencias de la Educación",G4:G1440,"Sí")</f>
        <v>12</v>
      </c>
      <c r="AK159" s="4">
        <f>SUMIFS( E4:E1440, C4:C1440,"Ciencias de la Educación",G4:G1440,"No")</f>
        <v>782</v>
      </c>
      <c r="AL159" s="4">
        <f>COUNTIFS(   C4:C1440,"Ciencias de la Educación",H4:H1440,"Sí")</f>
        <v>135</v>
      </c>
      <c r="AM159" s="4">
        <f>COUNTIFS(   C4:C1440,"Ciencias de la Educación",I4:I1440,"Sí")</f>
        <v>59</v>
      </c>
      <c r="AN159" s="4">
        <f>COUNTIFS(   C4:C1440,"Ciencias de la Educación",I4:I1440,"No")</f>
        <v>100</v>
      </c>
      <c r="AO159" s="4">
        <f>SUMIFS( E4:E1440, C4:C1440,"Ciencias de la Educación",I4:I1440,"Sí")</f>
        <v>498</v>
      </c>
      <c r="AP159" s="4">
        <f>SUMIFS( E4:E1440, C4:C1440,"Ciencias de la Educación",I4:I1440,"No")</f>
        <v>296</v>
      </c>
      <c r="AQ159" s="4">
        <f>COUNTIFS(   C4:C1440,"Ciencias de la Educación",J4:J1440,"Sí")</f>
        <v>159</v>
      </c>
      <c r="AR159" s="4">
        <f>COUNTIFS(   C4:C1440,"Ciencias de la Educación",K4:K1440,"Sí")</f>
        <v>53</v>
      </c>
      <c r="AS159" s="4">
        <f>COUNTIFS(   C4:C1440,"Ciencias de la Educación",L4:L1440,"Sí")</f>
        <v>0</v>
      </c>
      <c r="AT159" s="4">
        <f>SUMIFS( E4:E1440, C4:C1440,"Ciencias de la Educación")</f>
        <v>794</v>
      </c>
      <c r="AU159" s="4">
        <f>SUMIFS( E4:E1440, F4:F1440,"Hombre", C4:C1440,"Ciencias de la Educación")</f>
        <v>369</v>
      </c>
      <c r="AV159" s="4">
        <f>SUMIFS( E4:E1440, F4:F1440,"Mujer", C4:C1440,"Ciencias de la Educación")</f>
        <v>425</v>
      </c>
      <c r="AW159" s="18">
        <f>SUMIFS( E4:E1440, A4:A1440,"2018", C4:C1440,"Ciencias de la Educación")</f>
        <v>244</v>
      </c>
      <c r="AX159" s="4">
        <f>SUMIFS( E4:E1440, A4:A1440,"2019", C4:C1440,"Ciencias de la Educación")</f>
        <v>200</v>
      </c>
      <c r="AY159" s="4">
        <f>SUMIFS( E4:E1440, A4:A1440,"2020", C4:C1440,"Ciencias de la Educación")</f>
        <v>146</v>
      </c>
      <c r="AZ159" s="4">
        <f>SUMIFS( E4:E1440, A4:A1440,"2021", C4:C1440,"Ciencias de la Educación")</f>
        <v>204</v>
      </c>
      <c r="BA159" s="4">
        <f>SUMIFS( E4:E1440, A4:A1440,"2022", C4:C1440,"Ciencias de la Educación")</f>
        <v>0</v>
      </c>
      <c r="BB159" s="18">
        <f>SUMIFS( E4:E1440, N4:N1440,"2018", C4:C1440,"Ciencias de la Educación")</f>
        <v>79</v>
      </c>
      <c r="BC159" s="4">
        <f>SUMIFS( E4:E1440, N4:N1440,"2019", C4:C1440,"Ciencias de la Educación")</f>
        <v>226</v>
      </c>
      <c r="BD159" s="4">
        <f>SUMIFS( E4:E1440, N4:N1440,"2020", C4:C1440,"Ciencias de la Educación")</f>
        <v>186</v>
      </c>
      <c r="BE159" s="4">
        <f>SUMIFS( E4:E1440, N4:N1440,"2021", C4:C1440,"Ciencias de la Educación")</f>
        <v>192</v>
      </c>
      <c r="BF159" s="4">
        <f>SUMIFS( E4:E1440, N4:N1440,"2022", C4:C1440,"Ciencias de la Educación")</f>
        <v>111</v>
      </c>
      <c r="BG159" s="13">
        <f>AVERAGEIFS( E4:E1440, C4:C1440,"Ciencias de la Educación")</f>
        <v>5.7956204379562042</v>
      </c>
      <c r="BH159" s="13">
        <v>0</v>
      </c>
      <c r="BI159" s="13">
        <v>0</v>
      </c>
      <c r="BJ159" s="13">
        <f>AVERAGEIFS( E4:E1440, A4:A1440,"2020", C4:C1440,"Ciencias de la Educación")</f>
        <v>3.65</v>
      </c>
      <c r="BK159" s="13">
        <f>AVERAGEIFS( E4:E1440, A4:A1440,"2021", C4:C1440,"Ciencias de la Educación")</f>
        <v>6</v>
      </c>
      <c r="BL159" s="37" t="e">
        <f>AVERAGEIFS( E4:E1440, A4:A1440,"2022", C4:C1440,"Ciencias de la Educación")</f>
        <v>#DIV/0!</v>
      </c>
      <c r="BM159" s="13">
        <f>AVERAGE(AT160:AT168)</f>
        <v>87.777777777777771</v>
      </c>
      <c r="BN159" s="13">
        <v>0</v>
      </c>
      <c r="BO159" s="13">
        <v>0</v>
      </c>
      <c r="BP159" s="13">
        <f>AVERAGE(AY160:AY168)</f>
        <v>16.222222222222221</v>
      </c>
      <c r="BQ159" s="13">
        <f>AVERAGE(AZ160:AZ168)</f>
        <v>22.666666666666668</v>
      </c>
      <c r="BR159" s="13">
        <f>AVERAGE(BA160:BA168)</f>
        <v>0</v>
      </c>
    </row>
    <row r="160" spans="1:70" ht="15" customHeight="1">
      <c r="A160" s="24">
        <v>2018</v>
      </c>
      <c r="B160" s="24" t="s">
        <v>4</v>
      </c>
      <c r="C160" s="24" t="s">
        <v>5</v>
      </c>
      <c r="D160" s="24" t="s">
        <v>13</v>
      </c>
      <c r="E160" s="23">
        <v>21</v>
      </c>
      <c r="F160" s="24" t="s">
        <v>207</v>
      </c>
      <c r="G160" s="24" t="s">
        <v>225</v>
      </c>
      <c r="H160" s="23" t="s">
        <v>226</v>
      </c>
      <c r="I160" s="24" t="s">
        <v>226</v>
      </c>
      <c r="J160" s="23" t="s">
        <v>226</v>
      </c>
      <c r="K160" s="24" t="s">
        <v>226</v>
      </c>
      <c r="L160" s="23"/>
      <c r="M160" s="26" t="s">
        <v>309</v>
      </c>
      <c r="N160" s="24">
        <v>2019</v>
      </c>
      <c r="O160" s="67" t="s">
        <v>141</v>
      </c>
      <c r="P160" s="68"/>
      <c r="Q160" s="68"/>
      <c r="R160" s="68"/>
      <c r="S160" s="68"/>
      <c r="T160" s="69"/>
      <c r="U160" s="5">
        <f>COUNTIFS(   D4:D1440,"Currículum, Organización y Formación para la Equidad en la Sociedad del Conocimiento")</f>
        <v>42</v>
      </c>
      <c r="V160" s="5">
        <f>COUNTIFS(   D4:D1440,"Currículum, Organización y Formación para la Equidad en la Sociedad del Conocimiento",F4:F1440,"Hombre")</f>
        <v>16</v>
      </c>
      <c r="W160" s="5">
        <f>COUNTIFS(   D4:D1440,"Currículum, Organización y Formación para la Equidad en la Sociedad del Conocimiento",F4:F1440,"Mujer")</f>
        <v>26</v>
      </c>
      <c r="X160" s="19">
        <f>COUNTIFS(   A4:A1440,"2018", D4:D1440,"Currículum, Organización y Formación para la Equidad en la Sociedad del Conocimiento")</f>
        <v>10</v>
      </c>
      <c r="Y160" s="5">
        <f>COUNTIFS(   A4:A1440,"2019", D4:D1440,"Currículum, Organización y Formación para la Equidad en la Sociedad del Conocimiento")</f>
        <v>7</v>
      </c>
      <c r="Z160" s="5">
        <f>COUNTIFS(   A4:A1440,"2020", D4:D1440,"Currículum, Organización y Formación para la Equidad en la Sociedad del Conocimiento")</f>
        <v>12</v>
      </c>
      <c r="AA160" s="5">
        <f>COUNTIFS(   A4:A1440,"2021", D4:D1440,"Currículum, Organización y Formación para la Equidad en la Sociedad del Conocimiento")</f>
        <v>13</v>
      </c>
      <c r="AB160" s="5">
        <f>COUNTIFS(  A4:A1440,"2022", D4:D1440,"Currículum, Organización y Formación para la Equidad en la Sociedad del Conocimiento")</f>
        <v>0</v>
      </c>
      <c r="AC160" s="19">
        <f>COUNTIFS(   N4:N1440,"2018", D4:D1440,"Currículum, Organización y Formación para la Equidad en la Sociedad del Conocimiento")</f>
        <v>2</v>
      </c>
      <c r="AD160" s="5">
        <f>COUNTIFS(   N4:N1440,"2019", D4:D1440,"Currículum, Organización y Formación para la Equidad en la Sociedad del Conocimiento")</f>
        <v>9</v>
      </c>
      <c r="AE160" s="5">
        <f>COUNTIFS(   N4:N1440,"2020", D4:D1440,"Currículum, Organización y Formación para la Equidad en la Sociedad del Conocimiento")</f>
        <v>8</v>
      </c>
      <c r="AF160" s="5">
        <f>COUNTIFS(   N4:N1440,"2021", D4:D1440,"Currículum, Organización y Formación para la Equidad en la Sociedad del Conocimiento")</f>
        <v>16</v>
      </c>
      <c r="AG160" s="5">
        <f>COUNTIFS(   N4:N1440,"2022", D4:D1440,"Currículum, Organización y Formación para la Equidad en la Sociedad del Conocimiento")</f>
        <v>7</v>
      </c>
      <c r="AH160" s="5">
        <f>COUNTIFS(   D4:D1440,"Currículum, Organización y Formación para la Equidad en la Sociedad del Conocimiento",G4:G1440,"Sí")</f>
        <v>0</v>
      </c>
      <c r="AI160" s="5">
        <f>COUNTIFS(   D4:D1440,"Currículum, Organización y Formación para la Equidad en la Sociedad del Conocimiento",G4:G1440,"No")</f>
        <v>42</v>
      </c>
      <c r="AJ160" s="5">
        <f>SUMIFS( E4:E1440, D4:D1440,"Currículum, Organización y Formación para la Equidad en la Sociedad del Conocimiento",G4:G1440,"Sí")</f>
        <v>0</v>
      </c>
      <c r="AK160" s="5">
        <f>SUMIFS( E4:E1440, D4:D1440,"Currículum, Organización y Formación para la Equidad en la Sociedad del Conocimiento",G4:G1440,"No")</f>
        <v>288</v>
      </c>
      <c r="AL160" s="5">
        <f>COUNTIFS(   D4:D1440,"Currículum, Organización y Formación para la Equidad en la Sociedad del Conocimiento",H4:H1440,"Sí")</f>
        <v>38</v>
      </c>
      <c r="AM160" s="5">
        <f>COUNTIFS(   D4:D1440,"Currículum, Organización y Formación para la Equidad en la Sociedad del Conocimiento",I4:I1440,"Sí")</f>
        <v>19</v>
      </c>
      <c r="AN160" s="5">
        <f>COUNTIFS(   D4:D1440,"Currículum, Organización y Formación para la Equidad en la Sociedad del Conocimiento",I4:I1440,"No")</f>
        <v>23</v>
      </c>
      <c r="AO160" s="5">
        <f>SUMIFS( E4:E1440, D4:D1440,"Currículum, Organización y Formación para la Equidad en la Sociedad del Conocimiento",I4:I1440,"Sí")</f>
        <v>226</v>
      </c>
      <c r="AP160" s="5">
        <f>SUMIFS( E4:E1440, D4:D1440,"Currículum, Organización y Formación para la Equidad en la Sociedad del Conocimiento",I4:I1440,"No")</f>
        <v>62</v>
      </c>
      <c r="AQ160" s="5">
        <f>COUNTIFS(   D4:D1440,"Currículum, Organización y Formación para la Equidad en la Sociedad del Conocimiento",J4:J1440,"Sí")</f>
        <v>42</v>
      </c>
      <c r="AR160" s="5">
        <f>COUNTIFS(   D4:D1440,"Currículum, Organización y Formación para la Equidad en la Sociedad del Conocimiento",K4:K1440,"Sí")</f>
        <v>12</v>
      </c>
      <c r="AS160" s="5">
        <f>COUNTIFS(   D4:D1440,"Currículum, Organización y Formación para la Equidad en la Sociedad del Conocimiento",L4:L1440,"Sí")</f>
        <v>0</v>
      </c>
      <c r="AT160" s="5">
        <f>SUMIFS( E4:E1440, D4:D1440,"Currículum, Organización y Formación para la Equidad en la Sociedad del Conocimiento")</f>
        <v>288</v>
      </c>
      <c r="AU160" s="5">
        <f>SUMIFS( E4:E1440, F4:F1440,"Hombre", D4:D1440,"Currículum, Organización y Formación para la Equidad en la Sociedad del Conocimiento")</f>
        <v>135</v>
      </c>
      <c r="AV160" s="5">
        <f>SUMIFS( E4:E1440, F4:F1440,"Mujer", D4:D1440,"Currículum, Organización y Formación para la Equidad en la Sociedad del Conocimiento")</f>
        <v>153</v>
      </c>
      <c r="AW160" s="19">
        <f>SUMIFS( E4:E1440, A4:A1440,"2018", D4:D1440,"Currículum, Organización y Formación para la Equidad en la Sociedad del Conocimiento")</f>
        <v>97</v>
      </c>
      <c r="AX160" s="5">
        <f>SUMIFS( E4:E1440, A4:A1440,"2019", D4:D1440,"Currículum, Organización y Formación para la Equidad en la Sociedad del Conocimiento")</f>
        <v>65</v>
      </c>
      <c r="AY160" s="5">
        <f>SUMIFS( E4:E1440, A4:A1440,"2020", D4:D1440,"Currículum, Organización y Formación para la Equidad en la Sociedad del Conocimiento")</f>
        <v>37</v>
      </c>
      <c r="AZ160" s="5">
        <f>SUMIFS( E4:E1440, A4:A1440,"2021", D4:D1440,"Currículum, Organización y Formación para la Equidad en la Sociedad del Conocimiento")</f>
        <v>89</v>
      </c>
      <c r="BA160" s="5">
        <f>SUMIFS( E4:E1440, A4:A1440,"2022", D4:D1440,"Currículum, Organización y Formación para la Equidad en la Sociedad del Conocimiento")</f>
        <v>0</v>
      </c>
      <c r="BB160" s="19">
        <f>SUMIFS( E4:E1440, N4:N1440,"2018", D4:D1440,"Currículum, Organización y Formación para la Equidad en la Sociedad del Conocimiento")</f>
        <v>5</v>
      </c>
      <c r="BC160" s="5">
        <f>SUMIFS( E4:E1440, N4:N1440,"2019", D4:D1440,"Currículum, Organización y Formación para la Equidad en la Sociedad del Conocimiento")</f>
        <v>99</v>
      </c>
      <c r="BD160" s="5">
        <f>SUMIFS( E4:E1440, N4:N1440,"2020", D4:D1440,"Currículum, Organización y Formación para la Equidad en la Sociedad del Conocimiento")</f>
        <v>61</v>
      </c>
      <c r="BE160" s="5">
        <f>SUMIFS( E4:E1440, N4:N1440,"2021", D4:D1440,"Currículum, Organización y Formación para la Equidad en la Sociedad del Conocimiento")</f>
        <v>52</v>
      </c>
      <c r="BF160" s="5">
        <f>SUMIFS( E4:E1440, N4:N1440,"2022", D4:D1440,"Currículum, Organización y Formación para la Equidad en la Sociedad del Conocimiento")</f>
        <v>71</v>
      </c>
      <c r="BG160" s="14">
        <f>AVERAGEIFS( E4:E1440, D4:D1440,"Currículum, Organización y Formación para la Equidad en la Sociedad del Conocimiento")</f>
        <v>7.5789473684210522</v>
      </c>
      <c r="BH160" s="14">
        <v>0</v>
      </c>
      <c r="BI160" s="14">
        <v>0</v>
      </c>
      <c r="BJ160" s="14">
        <v>0</v>
      </c>
      <c r="BK160" s="14">
        <f>AVERAGEIFS( E4:E1440, A4:A1440,"2021", D4:D1440,"Currículum, Organización y Formación para la Equidad en la Sociedad del Conocimiento")</f>
        <v>7.416666666666667</v>
      </c>
      <c r="BL160" s="37" t="e">
        <f>AVERAGEIFS( E4:E1440, A4:A1440,"2022", D4:D1440,"Currículum, Organización y Formación para la Equidad en la Sociedad del Conocimiento")</f>
        <v>#DIV/0!</v>
      </c>
      <c r="BM160" s="14">
        <v>2.5</v>
      </c>
      <c r="BN160" s="14">
        <v>0</v>
      </c>
      <c r="BO160" s="14">
        <v>0</v>
      </c>
      <c r="BP160" s="14">
        <v>0</v>
      </c>
      <c r="BQ160" s="14">
        <v>2</v>
      </c>
      <c r="BR160" s="14">
        <v>3.5</v>
      </c>
    </row>
    <row r="161" spans="1:70" ht="15" customHeight="1">
      <c r="A161" s="24">
        <v>2018</v>
      </c>
      <c r="B161" s="24" t="s">
        <v>4</v>
      </c>
      <c r="C161" s="24" t="s">
        <v>5</v>
      </c>
      <c r="D161" s="24" t="s">
        <v>7</v>
      </c>
      <c r="E161" s="23">
        <v>20</v>
      </c>
      <c r="F161" s="24" t="s">
        <v>207</v>
      </c>
      <c r="G161" s="24" t="s">
        <v>225</v>
      </c>
      <c r="H161" s="23" t="s">
        <v>226</v>
      </c>
      <c r="I161" s="24" t="s">
        <v>226</v>
      </c>
      <c r="J161" s="23" t="s">
        <v>226</v>
      </c>
      <c r="K161" s="24" t="s">
        <v>226</v>
      </c>
      <c r="L161" s="23"/>
      <c r="M161" s="26" t="s">
        <v>310</v>
      </c>
      <c r="N161" s="24">
        <v>2019</v>
      </c>
      <c r="O161" s="67" t="s">
        <v>142</v>
      </c>
      <c r="P161" s="68"/>
      <c r="Q161" s="68"/>
      <c r="R161" s="68"/>
      <c r="S161" s="68"/>
      <c r="T161" s="69"/>
      <c r="U161" s="5">
        <f>COUNTIFS(   D4:D1440,"Diagnóstico, Evaluación e Intervención Psicoeducativa")</f>
        <v>13</v>
      </c>
      <c r="V161" s="5">
        <f>COUNTIFS(   D4:D1440,"Diagnóstico, Evaluación e Intervención Psicoeducativa",F4:F1440,"Hombre")</f>
        <v>4</v>
      </c>
      <c r="W161" s="5">
        <f>COUNTIFS(   D4:D1440,"Diagnóstico, Evaluación e Intervención Psicoeducativa",F4:F1440,"Mujer")</f>
        <v>9</v>
      </c>
      <c r="X161" s="19">
        <f>COUNTIFS(   A4:A1440,"2018", D4:D1440,"Diagnóstico, Evaluación e Intervención Psicoeducativa")</f>
        <v>4</v>
      </c>
      <c r="Y161" s="5">
        <f>COUNTIFS(   A4:A1440,"2019", D4:D1440,"Diagnóstico, Evaluación e Intervención Psicoeducativa")</f>
        <v>3</v>
      </c>
      <c r="Z161" s="5">
        <f>COUNTIFS(   A4:A1440,"2020", D4:D1440,"Diagnóstico, Evaluación e Intervención Psicoeducativa")</f>
        <v>2</v>
      </c>
      <c r="AA161" s="5">
        <f>COUNTIFS(   A4:A1440,"2021", D4:D1440,"Diagnóstico, Evaluación e Intervención Psicoeducativa")</f>
        <v>4</v>
      </c>
      <c r="AB161" s="5">
        <f>COUNTIFS(  A4:A1440,"2022", D4:D1440,"Diagnóstico, Evaluación e Intervención Psicoeducativa")</f>
        <v>0</v>
      </c>
      <c r="AC161" s="19">
        <f>COUNTIFS(   N4:N1440,"2018", D4:D1440,"Diagnóstico, Evaluación e Intervención Psicoeducativa")</f>
        <v>2</v>
      </c>
      <c r="AD161" s="5">
        <f>COUNTIFS(   N4:N1440,"2019", D4:D1440,"Diagnóstico, Evaluación e Intervención Psicoeducativa")</f>
        <v>3</v>
      </c>
      <c r="AE161" s="5">
        <f>COUNTIFS(   N4:N1440,"2020", D4:D1440,"Diagnóstico, Evaluación e Intervención Psicoeducativa")</f>
        <v>3</v>
      </c>
      <c r="AF161" s="5">
        <f>COUNTIFS(   N4:N1440,"2021", D4:D1440,"Diagnóstico, Evaluación e Intervención Psicoeducativa")</f>
        <v>2</v>
      </c>
      <c r="AG161" s="5">
        <f>COUNTIFS(   N4:N1440,"2022", D4:D1440,"Diagnóstico, Evaluación e Intervención Psicoeducativa")</f>
        <v>3</v>
      </c>
      <c r="AH161" s="5">
        <f>COUNTIFS(   D4:D1440,"Diagnóstico, Evaluación e Intervención Psicoeducativa",G4:G1440,"Sí")</f>
        <v>2</v>
      </c>
      <c r="AI161" s="5">
        <f>COUNTIFS(   D4:D1440,"Diagnóstico, Evaluación e Intervención Psicoeducativa",G4:G1440,"No")</f>
        <v>11</v>
      </c>
      <c r="AJ161" s="5">
        <f>SUMIFS( E4:E1440, D4:D1440,"Diagnóstico, Evaluación e Intervención Psicoeducativa",G4:G1440,"Sí")</f>
        <v>8</v>
      </c>
      <c r="AK161" s="5">
        <f>SUMIFS( E4:E1440, D4:D1440,"Diagnóstico, Evaluación e Intervención Psicoeducativa",G4:G1440,"No")</f>
        <v>39</v>
      </c>
      <c r="AL161" s="5">
        <f>COUNTIFS(   D4:D1440,"Diagnóstico, Evaluación e Intervención Psicoeducativa",H4:H1440,"Sí")</f>
        <v>12</v>
      </c>
      <c r="AM161" s="5">
        <f>COUNTIFS(   D4:D1440,"Diagnóstico, Evaluación e Intervención Psicoeducativa",I4:I1440,"Sí")</f>
        <v>5</v>
      </c>
      <c r="AN161" s="5">
        <f>COUNTIFS(   D4:D1440,"Diagnóstico, Evaluación e Intervención Psicoeducativa",I4:I1440,"No")</f>
        <v>8</v>
      </c>
      <c r="AO161" s="5">
        <f>SUMIFS( E4:E1440, D4:D1440,"Diagnóstico, Evaluación e Intervención Psicoeducativa",I4:I1440,"Sí")</f>
        <v>12</v>
      </c>
      <c r="AP161" s="5">
        <f>SUMIFS( E4:E1440, D4:D1440,"Diagnóstico, Evaluación e Intervención Psicoeducativa",I4:I1440,"No")</f>
        <v>35</v>
      </c>
      <c r="AQ161" s="5">
        <f>COUNTIFS(   D4:D1440,"Diagnóstico, Evaluación e Intervención Psicoeducativa",J4:J1440,"Sí")</f>
        <v>13</v>
      </c>
      <c r="AR161" s="5">
        <f>COUNTIFS(   D4:D1440,"Diagnóstico, Evaluación e Intervención Psicoeducativa",K4:K1440,"Sí")</f>
        <v>5</v>
      </c>
      <c r="AS161" s="5">
        <f>COUNTIFS(   D4:D1440,"Diagnóstico, Evaluación e Intervención Psicoeducativa",L4:L1440,"Sí")</f>
        <v>0</v>
      </c>
      <c r="AT161" s="5">
        <f>SUMIFS( E4:E1440, D4:D1440,"Diagnóstico, Evaluación e Intervención Psicoeducativa")</f>
        <v>47</v>
      </c>
      <c r="AU161" s="5">
        <f>SUMIFS( E4:E1440, F4:F1440,"Hombre", D4:D1440,"Diagnóstico, Evaluación e Intervención Psicoeducativa")</f>
        <v>9</v>
      </c>
      <c r="AV161" s="5">
        <f>SUMIFS( E4:E1440, F4:F1440,"Mujer", D4:D1440,"Diagnóstico, Evaluación e Intervención Psicoeducativa")</f>
        <v>38</v>
      </c>
      <c r="AW161" s="19">
        <f>SUMIFS( E4:E1440, A4:A1440,"2018", D4:D1440,"Diagnóstico, Evaluación e Intervención Psicoeducativa")</f>
        <v>28</v>
      </c>
      <c r="AX161" s="5">
        <f>SUMIFS( E4:E1440, A4:A1440,"2019", D4:D1440,"Diagnóstico, Evaluación e Intervención Psicoeducativa")</f>
        <v>4</v>
      </c>
      <c r="AY161" s="5">
        <f>SUMIFS( E4:E1440, A4:A1440,"2020", D4:D1440,"Diagnóstico, Evaluación e Intervención Psicoeducativa")</f>
        <v>3</v>
      </c>
      <c r="AZ161" s="5">
        <f>SUMIFS( E4:E1440, A4:A1440,"2021", D4:D1440,"Diagnóstico, Evaluación e Intervención Psicoeducativa")</f>
        <v>12</v>
      </c>
      <c r="BA161" s="5">
        <f>SUMIFS( E4:E1440, A4:A1440,"2022", D4:D1440,"Diagnóstico, Evaluación e Intervención Psicoeducativa")</f>
        <v>0</v>
      </c>
      <c r="BB161" s="19">
        <f>SUMIFS( E4:E1440, N4:N1440,"2018", D4:D1440,"Diagnóstico, Evaluación e Intervención Psicoeducativa")</f>
        <v>25</v>
      </c>
      <c r="BC161" s="5">
        <f>SUMIFS( E4:E1440, N4:N1440,"2019", D4:D1440,"Diagnóstico, Evaluación e Intervención Psicoeducativa")</f>
        <v>5</v>
      </c>
      <c r="BD161" s="5">
        <f>SUMIFS( E4:E1440, N4:N1440,"2020", D4:D1440,"Diagnóstico, Evaluación e Intervención Psicoeducativa")</f>
        <v>3</v>
      </c>
      <c r="BE161" s="5">
        <f>SUMIFS( E4:E1440, N4:N1440,"2021", D4:D1440,"Diagnóstico, Evaluación e Intervención Psicoeducativa")</f>
        <v>2</v>
      </c>
      <c r="BF161" s="5">
        <f>SUMIFS( E4:E1440, N4:N1440,"2022", D4:D1440,"Diagnóstico, Evaluación e Intervención Psicoeducativa")</f>
        <v>12</v>
      </c>
      <c r="BG161" s="14">
        <f>AVERAGEIFS( E4:E1440, D4:D1440,"Diagnóstico, Evaluación e Intervención Psicoeducativa")</f>
        <v>3.9166666666666665</v>
      </c>
      <c r="BH161" s="14">
        <v>0</v>
      </c>
      <c r="BI161" s="14">
        <v>0</v>
      </c>
      <c r="BJ161" s="14">
        <v>0</v>
      </c>
      <c r="BK161" s="14">
        <f>AVERAGEIFS( E4:E1440, A4:A1440,"2021", D4:D1440,"Diagnóstico, Evaluación e Intervención Psicoeducativa")</f>
        <v>4</v>
      </c>
      <c r="BL161" s="37" t="e">
        <f>AVERAGEIFS( E4:E1440, A4:A1440,"2022", D4:D1440,"Diagnóstico, Evaluación e Intervención Psicoeducativa")</f>
        <v>#DIV/0!</v>
      </c>
      <c r="BM161" s="14">
        <v>1.5</v>
      </c>
      <c r="BN161" s="14">
        <v>0</v>
      </c>
      <c r="BO161" s="14">
        <v>0</v>
      </c>
      <c r="BP161" s="14">
        <v>0</v>
      </c>
      <c r="BQ161" s="14">
        <v>2</v>
      </c>
      <c r="BR161" s="14">
        <v>0.5</v>
      </c>
    </row>
    <row r="162" spans="1:70" ht="15" customHeight="1">
      <c r="A162" s="24">
        <v>2018</v>
      </c>
      <c r="B162" s="24" t="s">
        <v>78</v>
      </c>
      <c r="C162" s="24" t="s">
        <v>683</v>
      </c>
      <c r="D162" s="24" t="s">
        <v>115</v>
      </c>
      <c r="E162" s="23">
        <v>34</v>
      </c>
      <c r="F162" s="24" t="s">
        <v>207</v>
      </c>
      <c r="G162" s="24" t="s">
        <v>225</v>
      </c>
      <c r="H162" s="23" t="s">
        <v>226</v>
      </c>
      <c r="I162" s="24" t="s">
        <v>226</v>
      </c>
      <c r="J162" s="23" t="s">
        <v>226</v>
      </c>
      <c r="K162" s="24" t="s">
        <v>226</v>
      </c>
      <c r="L162" s="23"/>
      <c r="M162" s="26" t="s">
        <v>311</v>
      </c>
      <c r="N162" s="24">
        <v>2019</v>
      </c>
      <c r="O162" s="51" t="s">
        <v>365</v>
      </c>
      <c r="P162" s="52"/>
      <c r="Q162" s="52"/>
      <c r="R162" s="52"/>
      <c r="S162" s="52"/>
      <c r="T162" s="53"/>
      <c r="U162" s="5">
        <f>COUNTIFS(   D3:D1439,"Didáctica de las Ciencias Experimentales y Educación para la Sostenibilidad")</f>
        <v>5</v>
      </c>
      <c r="V162" s="5">
        <f>COUNTIFS(   D3:D1439,"Didáctica de las Ciencias Experimentales y Educación para la Sostenibilidad",F3:F1439,"Hombre")</f>
        <v>4</v>
      </c>
      <c r="W162" s="5">
        <f>COUNTIFS(   D3:D1439,"Didáctica de las Ciencias Experimentales y Educación para la Sostenibilidad",F3:F1439,"Mujer")</f>
        <v>1</v>
      </c>
      <c r="X162" s="19">
        <f>COUNTIFS(   A3:A1439,"2018", D3:D1439,"Didáctica de las Ciencias Experimentales y Educación para la Sostenibilidad")</f>
        <v>1</v>
      </c>
      <c r="Y162" s="5">
        <f>COUNTIFS(   A3:A1439,"2019", D3:D1439,"Didáctica de las Ciencias Experimentales y Educación para la Sostenibilidad")</f>
        <v>0</v>
      </c>
      <c r="Z162" s="5">
        <f>COUNTIFS(   A3:A1439,"2020", D3:D1439,"Didáctica de las Ciencias Experimentales y Educación para la Sostenibilidad")</f>
        <v>3</v>
      </c>
      <c r="AA162" s="5">
        <f>COUNTIFS(   A3:A1439,"2021", D3:D1439,"Didáctica de las Ciencias Experimentales y Educación para la Sostenibilidad")</f>
        <v>1</v>
      </c>
      <c r="AB162" s="5">
        <f>COUNTIFS(  A3:A1439,"2022", D3:D1439,"Didáctica de las Ciencias Experimentales y Educación para la Sostenibilidad")</f>
        <v>0</v>
      </c>
      <c r="AC162" s="19">
        <f>COUNTIFS(   N3:N1439,"2018", D3:D1439,"Didáctica de las Ciencias Experimentales y Educación para la Sostenibilidad")</f>
        <v>0</v>
      </c>
      <c r="AD162" s="5">
        <f>COUNTIFS(   N3:N1439,"2019", D3:D1439,"Didáctica de las Ciencias Experimentales y Educación para la Sostenibilidad")</f>
        <v>1</v>
      </c>
      <c r="AE162" s="5">
        <f>COUNTIFS(   N3:N1439,"2020", D3:D1439,"Didáctica de las Ciencias Experimentales y Educación para la Sostenibilidad")</f>
        <v>1</v>
      </c>
      <c r="AF162" s="5">
        <f>COUNTIFS(   N3:N1439,"2021", D3:D1439,"Didáctica de las Ciencias Experimentales y Educación para la Sostenibilidad")</f>
        <v>3</v>
      </c>
      <c r="AG162" s="5">
        <f>COUNTIFS(   N3:N1439,"2022", D3:D1439,"Didáctica de las Ciencias Experimentales y Educación para la Sostenibilidad")</f>
        <v>0</v>
      </c>
      <c r="AH162" s="5">
        <f>COUNTIFS(   D3:D1439,"Didáctica de las Ciencias Experimentales y Educación para la Sostenibilidad",G3:G1439,"Sí")</f>
        <v>0</v>
      </c>
      <c r="AI162" s="5">
        <f>COUNTIFS(   D3:D1439,"Didáctica de las Ciencias Experimentales y Educación para la Sostenibilidad",G3:G1439,"No")</f>
        <v>5</v>
      </c>
      <c r="AJ162" s="5">
        <f>SUMIFS( E3:E1439, D3:D1439,"Didáctica de las Ciencias Experimentales y Educación para la Sostenibilidad",G3:G1439,"Sí")</f>
        <v>0</v>
      </c>
      <c r="AK162" s="5">
        <f>SUMIFS( E3:E1439, D3:D1439,"Didáctica de las Ciencias Experimentales y Educación para la Sostenibilidad",G3:G1439,"No")</f>
        <v>10</v>
      </c>
      <c r="AL162" s="5">
        <f>COUNTIFS(   D3:D1439,"Didáctica de las Ciencias Experimentales y Educación para la Sostenibilidad",H3:H1439,"Sí")</f>
        <v>5</v>
      </c>
      <c r="AM162" s="5">
        <f>COUNTIFS(   D3:D1439,"Didáctica de las Ciencias Experimentales y Educación para la Sostenibilidad",I3:I1439,"Sí")</f>
        <v>0</v>
      </c>
      <c r="AN162" s="5">
        <f>COUNTIFS(   D3:D1439,"Didáctica de las Ciencias Experimentales y Educación para la Sostenibilidad",I3:I1439,"No")</f>
        <v>5</v>
      </c>
      <c r="AO162" s="5">
        <f>SUMIFS( E3:E1439, D3:D1439,"Didáctica de las Ciencias Experimentales y Educación para la Sostenibilidad",I3:I1439,"Sí")</f>
        <v>0</v>
      </c>
      <c r="AP162" s="5">
        <f>SUMIFS( E3:E1439, D3:D1439,"Didáctica de las Ciencias Experimentales y Educación para la Sostenibilidad",I3:I1439,"No")</f>
        <v>10</v>
      </c>
      <c r="AQ162" s="5">
        <f>COUNTIFS(   D3:D1439,"Didáctica de las Ciencias Experimentales y Educación para la Sostenibilidad",J3:J1439,"Sí")</f>
        <v>5</v>
      </c>
      <c r="AR162" s="5">
        <f>COUNTIFS(   D3:D1439,"Didáctica de las Ciencias Experimentales y Educación para la Sostenibilidad",K3:K1439,"Sí")</f>
        <v>1</v>
      </c>
      <c r="AS162" s="5">
        <f>COUNTIFS(   D3:D1439,"Didáctica de las Ciencias Experimentales y Educación para la Sostenibilidad",L3:L1439,"Sí")</f>
        <v>0</v>
      </c>
      <c r="AT162" s="5">
        <f>SUMIFS( E3:E1439, D3:D1439,"Didáctica de las Ciencias Experimentales y Educación para la Sostenibilidad")</f>
        <v>10</v>
      </c>
      <c r="AU162" s="5">
        <f>SUMIFS( E3:E1439, F3:F1439,"Hombre", D3:D1439,"Didáctica de las Ciencias Experimentales y Educación para la Sostenibilidad")</f>
        <v>9</v>
      </c>
      <c r="AV162" s="5">
        <f>SUMIFS( E3:E1439, F3:F1439,"Mujer", D3:D1439,"Didáctica de las Ciencias Experimentales y Educación para la Sostenibilidad")</f>
        <v>1</v>
      </c>
      <c r="AW162" s="19">
        <f>SUMIFS( E3:E1439, A3:A1439,"2018", D3:D1439,"Didáctica de las Ciencias Experimentales y Educación para la Sostenibilidad")</f>
        <v>3</v>
      </c>
      <c r="AX162" s="5">
        <f>SUMIFS( E3:E1439, A3:A1439,"2019", D3:D1439,"Didáctica de las Ciencias Experimentales y Educación para la Sostenibilidad")</f>
        <v>0</v>
      </c>
      <c r="AY162" s="5">
        <f>SUMIFS( E3:E1439, A3:A1439,"2020", D3:D1439,"Didáctica de las Ciencias Experimentales y Educación para la Sostenibilidad")</f>
        <v>3</v>
      </c>
      <c r="AZ162" s="5">
        <f>SUMIFS( E3:E1439, A3:A1439,"2021", D3:D1439,"Didáctica de las Ciencias Experimentales y Educación para la Sostenibilidad")</f>
        <v>4</v>
      </c>
      <c r="BA162" s="5">
        <f>SUMIFS( E3:E1439, A3:A1439,"2022", D3:D1439,"Didáctica de las Ciencias Experimentales y Educación para la Sostenibilidad")</f>
        <v>0</v>
      </c>
      <c r="BB162" s="19">
        <f>SUMIFS( E3:E1439, N3:N1439,"2018", D3:D1439,"Didáctica de las Ciencias Experimentales y Educación para la Sostenibilidad")</f>
        <v>0</v>
      </c>
      <c r="BC162" s="5">
        <f>SUMIFS( E3:E1439, N3:N1439,"2019", D3:D1439,"Didáctica de las Ciencias Experimentales y Educación para la Sostenibilidad")</f>
        <v>3</v>
      </c>
      <c r="BD162" s="5">
        <f>SUMIFS( E3:E1439, N3:N1439,"2020", D3:D1439,"Didáctica de las Ciencias Experimentales y Educación para la Sostenibilidad")</f>
        <v>1</v>
      </c>
      <c r="BE162" s="5">
        <f>SUMIFS( E3:E1439, N3:N1439,"2021", D3:D1439,"Didáctica de las Ciencias Experimentales y Educación para la Sostenibilidad")</f>
        <v>6</v>
      </c>
      <c r="BF162" s="5">
        <f>SUMIFS( E3:E1439, N3:N1439,"2022", D3:D1439,"Didáctica de las Ciencias Experimentales y Educación para la Sostenibilidad")</f>
        <v>0</v>
      </c>
      <c r="BG162" s="14">
        <f>AVERAGEIFS( E3:E1439, D3:D1439,"Didáctica de las Ciencias Experimentales y Educación para la Sostenibilidad")</f>
        <v>2</v>
      </c>
      <c r="BH162" s="14"/>
      <c r="BI162" s="14"/>
      <c r="BJ162" s="14"/>
      <c r="BK162" s="14"/>
      <c r="BL162" s="37"/>
      <c r="BM162" s="14"/>
      <c r="BN162" s="14"/>
      <c r="BO162" s="14"/>
      <c r="BP162" s="14"/>
      <c r="BQ162" s="14"/>
      <c r="BR162" s="14"/>
    </row>
    <row r="163" spans="1:70" ht="15" customHeight="1">
      <c r="A163" s="24">
        <v>2018</v>
      </c>
      <c r="B163" s="24" t="s">
        <v>4</v>
      </c>
      <c r="C163" s="24" t="s">
        <v>31</v>
      </c>
      <c r="D163" s="24" t="s">
        <v>32</v>
      </c>
      <c r="E163" s="23">
        <v>2</v>
      </c>
      <c r="F163" s="24" t="s">
        <v>207</v>
      </c>
      <c r="G163" s="24" t="s">
        <v>225</v>
      </c>
      <c r="H163" s="23" t="s">
        <v>226</v>
      </c>
      <c r="I163" s="24" t="s">
        <v>225</v>
      </c>
      <c r="J163" s="23" t="s">
        <v>226</v>
      </c>
      <c r="K163" s="24" t="s">
        <v>226</v>
      </c>
      <c r="L163" s="23"/>
      <c r="M163" s="26" t="s">
        <v>311</v>
      </c>
      <c r="N163" s="24">
        <v>2019</v>
      </c>
      <c r="O163" s="67" t="s">
        <v>145</v>
      </c>
      <c r="P163" s="68"/>
      <c r="Q163" s="68"/>
      <c r="R163" s="68"/>
      <c r="S163" s="68"/>
      <c r="T163" s="69"/>
      <c r="U163" s="5">
        <f>COUNTIFS(   D4:D1440,"Didáctica de las Lenguas y sus Literaturas")</f>
        <v>16</v>
      </c>
      <c r="V163" s="5">
        <f>COUNTIFS(   D4:D1440,"Didáctica de las Lenguas y sus Literaturas",F4:F1440,"Hombre")</f>
        <v>5</v>
      </c>
      <c r="W163" s="5">
        <f>COUNTIFS(   D4:D1440,"Didáctica de las Lenguas y sus Literaturas",F4:F1440,"Mujer")</f>
        <v>11</v>
      </c>
      <c r="X163" s="19">
        <f>COUNTIFS(   A4:A1440,"2018", D4:D1440,"Didáctica de las Lenguas y sus Literaturas")</f>
        <v>7</v>
      </c>
      <c r="Y163" s="5">
        <f>COUNTIFS(   A4:A1440,"2019", D4:D1440,"Didáctica de las Lenguas y sus Literaturas")</f>
        <v>3</v>
      </c>
      <c r="Z163" s="5">
        <f>COUNTIFS(   A4:A1440,"2020", D4:D1440,"Didáctica de las Lenguas y sus Literaturas")</f>
        <v>3</v>
      </c>
      <c r="AA163" s="5">
        <f>COUNTIFS(   A4:A1440,"2021", D4:D1440,"Didáctica de las Lenguas y sus Literaturas")</f>
        <v>3</v>
      </c>
      <c r="AB163" s="5">
        <f>COUNTIFS(  A4:A1440,"2022", D4:D1440,"Didáctica de las Lenguas y sus Literaturas")</f>
        <v>0</v>
      </c>
      <c r="AC163" s="19">
        <f>COUNTIFS(   N4:N1440,"2018", D4:D1440,"Didáctica de las Lenguas y sus Literaturas")</f>
        <v>1</v>
      </c>
      <c r="AD163" s="5">
        <f>COUNTIFS(   N4:N1440,"2019", D4:D1440,"Didáctica de las Lenguas y sus Literaturas")</f>
        <v>6</v>
      </c>
      <c r="AE163" s="5">
        <f>COUNTIFS(   N4:N1440,"2020", D4:D1440,"Didáctica de las Lenguas y sus Literaturas")</f>
        <v>3</v>
      </c>
      <c r="AF163" s="5">
        <f>COUNTIFS(   N4:N1440,"2021", D4:D1440,"Didáctica de las Lenguas y sus Literaturas")</f>
        <v>3</v>
      </c>
      <c r="AG163" s="5">
        <f>COUNTIFS(   N4:N1440,"2022", D4:D1440,"Didáctica de las Lenguas y sus Literaturas")</f>
        <v>3</v>
      </c>
      <c r="AH163" s="5">
        <f>COUNTIFS(   D4:D1440,"Didáctica de las Lenguas y sus Literaturas",G4:G1440,"Sí")</f>
        <v>1</v>
      </c>
      <c r="AI163" s="5">
        <f>COUNTIFS(   D4:D1440,"Didáctica de las Lenguas y sus Literaturas",G4:G1440,"No")</f>
        <v>15</v>
      </c>
      <c r="AJ163" s="5">
        <f>SUMIFS( E4:E1440, D4:D1440,"Didáctica de las Lenguas y sus Literaturas",G4:G1440,"Sí")</f>
        <v>4</v>
      </c>
      <c r="AK163" s="5">
        <f>SUMIFS( E4:E1440, D4:D1440,"Didáctica de las Lenguas y sus Literaturas",G4:G1440,"No")</f>
        <v>36</v>
      </c>
      <c r="AL163" s="5">
        <f>COUNTIFS(   D4:D1440,"Didáctica de las Lenguas y sus Literaturas",H4:H1440,"Sí")</f>
        <v>9</v>
      </c>
      <c r="AM163" s="5">
        <f>COUNTIFS(   D4:D1440,"Didáctica de las Lenguas y sus Literaturas",I4:I1440,"Sí")</f>
        <v>6</v>
      </c>
      <c r="AN163" s="5">
        <f>COUNTIFS(   D4:D1440,"Didáctica de las Lenguas y sus Literaturas",I4:I1440,"No")</f>
        <v>10</v>
      </c>
      <c r="AO163" s="5">
        <f>SUMIFS( E4:E1440, D4:D1440,"Didáctica de las Lenguas y sus Literaturas",I4:I1440,"Sí")</f>
        <v>34</v>
      </c>
      <c r="AP163" s="5">
        <f>SUMIFS( E4:E1440, D4:D1440,"Didáctica de las Lenguas y sus Literaturas",I4:I1440,"No")</f>
        <v>6</v>
      </c>
      <c r="AQ163" s="5">
        <f>COUNTIFS(   D4:D1440,"Didáctica de las Lenguas y sus Literaturas",J4:J1440,"Sí")</f>
        <v>16</v>
      </c>
      <c r="AR163" s="5">
        <f>COUNTIFS(   D4:D1440,"Didáctica de las Lenguas y sus Literaturas",K4:K1440,"Sí")</f>
        <v>7</v>
      </c>
      <c r="AS163" s="5">
        <f>COUNTIFS(   D4:D1440,"Didáctica de las Lenguas y sus Literaturas",L4:L1440,"Sí")</f>
        <v>0</v>
      </c>
      <c r="AT163" s="5">
        <f>SUMIFS( E4:E1440, D4:D1440,"Didáctica de las Lenguas y sus Literaturas")</f>
        <v>40</v>
      </c>
      <c r="AU163" s="5">
        <f>SUMIFS( E4:E1440, F4:F1440,"Hombre", D4:D1440,"Didáctica de las Lenguas y sus Literaturas")</f>
        <v>6</v>
      </c>
      <c r="AV163" s="5">
        <f>SUMIFS( E4:E1440, F4:F1440,"Mujer", D4:D1440,"Didáctica de las Lenguas y sus Literaturas")</f>
        <v>34</v>
      </c>
      <c r="AW163" s="19">
        <f>SUMIFS( E4:E1440, A4:A1440,"2018", D4:D1440,"Didáctica de las Lenguas y sus Literaturas")</f>
        <v>32</v>
      </c>
      <c r="AX163" s="5">
        <f>SUMIFS( E4:E1440, A4:A1440,"2019", D4:D1440,"Didáctica de las Lenguas y sus Literaturas")</f>
        <v>4</v>
      </c>
      <c r="AY163" s="5">
        <f>SUMIFS( E4:E1440, A4:A1440,"2020", D4:D1440,"Didáctica de las Lenguas y sus Literaturas")</f>
        <v>2</v>
      </c>
      <c r="AZ163" s="5">
        <f>SUMIFS( E4:E1440, A4:A1440,"2021", D4:D1440,"Didáctica de las Lenguas y sus Literaturas")</f>
        <v>2</v>
      </c>
      <c r="BA163" s="5">
        <f>SUMIFS( E4:E1440, A4:A1440,"2022", D4:D1440,"Didáctica de las Lenguas y sus Literaturas")</f>
        <v>0</v>
      </c>
      <c r="BB163" s="19">
        <f>SUMIFS( E4:E1440, N4:N1440,"2018", D4:D1440,"Didáctica de las Lenguas y sus Literaturas")</f>
        <v>4</v>
      </c>
      <c r="BC163" s="5">
        <f>SUMIFS( E4:E1440, N4:N1440,"2019", D4:D1440,"Didáctica de las Lenguas y sus Literaturas")</f>
        <v>28</v>
      </c>
      <c r="BD163" s="5">
        <f>SUMIFS( E4:E1440, N4:N1440,"2020", D4:D1440,"Didáctica de las Lenguas y sus Literaturas")</f>
        <v>4</v>
      </c>
      <c r="BE163" s="5">
        <f>SUMIFS( E4:E1440, N4:N1440,"2021", D4:D1440,"Didáctica de las Lenguas y sus Literaturas")</f>
        <v>2</v>
      </c>
      <c r="BF163" s="5">
        <f>SUMIFS( E4:E1440, N4:N1440,"2022", D4:D1440,"Didáctica de las Lenguas y sus Literaturas")</f>
        <v>2</v>
      </c>
      <c r="BG163" s="14">
        <f>AVERAGEIFS( E4:E1440, D4:D1440,"Didáctica de las Lenguas y sus Literaturas")</f>
        <v>4.4444444444444446</v>
      </c>
      <c r="BH163" s="14">
        <v>0</v>
      </c>
      <c r="BI163" s="14">
        <v>0</v>
      </c>
      <c r="BJ163" s="14">
        <v>0</v>
      </c>
      <c r="BK163" s="14">
        <f>AVERAGEIFS( E4:E1440, A4:A1440,"2021", D4:D1440,"Didáctica de las Lenguas y sus Literaturas")</f>
        <v>2</v>
      </c>
      <c r="BL163" s="37">
        <v>0</v>
      </c>
      <c r="BM163" s="14">
        <v>1.3333333333333333</v>
      </c>
      <c r="BN163" s="14">
        <v>0</v>
      </c>
      <c r="BO163" s="14">
        <v>0</v>
      </c>
      <c r="BP163" s="14">
        <v>0</v>
      </c>
      <c r="BQ163" s="14">
        <v>1.3333333333333333</v>
      </c>
      <c r="BR163" s="14">
        <v>0</v>
      </c>
    </row>
    <row r="164" spans="1:70" ht="15" customHeight="1">
      <c r="A164" s="24">
        <v>2018</v>
      </c>
      <c r="B164" s="24" t="s">
        <v>136</v>
      </c>
      <c r="C164" s="24" t="s">
        <v>146</v>
      </c>
      <c r="D164" s="24" t="s">
        <v>148</v>
      </c>
      <c r="E164" s="23">
        <v>5</v>
      </c>
      <c r="F164" s="24" t="s">
        <v>207</v>
      </c>
      <c r="G164" s="24" t="s">
        <v>225</v>
      </c>
      <c r="H164" s="23" t="s">
        <v>226</v>
      </c>
      <c r="I164" s="24" t="s">
        <v>225</v>
      </c>
      <c r="J164" s="23" t="s">
        <v>226</v>
      </c>
      <c r="K164" s="24" t="s">
        <v>226</v>
      </c>
      <c r="L164" s="23"/>
      <c r="M164" s="25">
        <v>43529</v>
      </c>
      <c r="N164" s="24">
        <v>2019</v>
      </c>
      <c r="O164" s="67" t="s">
        <v>140</v>
      </c>
      <c r="P164" s="68"/>
      <c r="Q164" s="68"/>
      <c r="R164" s="68"/>
      <c r="S164" s="68"/>
      <c r="T164" s="69"/>
      <c r="U164" s="5">
        <f>COUNTIFS(   D4:D1440,"Educación Matemática")</f>
        <v>25</v>
      </c>
      <c r="V164" s="5">
        <f>COUNTIFS(   D4:D1440,"Educación Matemática",F4:F1440,"Hombre")</f>
        <v>12</v>
      </c>
      <c r="W164" s="5">
        <f>COUNTIFS(   D4:D1440,"Educación Matemática",F4:F1440,"Mujer")</f>
        <v>13</v>
      </c>
      <c r="X164" s="19">
        <f>COUNTIFS(   A4:A1440,"2018", D4:D1440,"Educación Matemática")</f>
        <v>7</v>
      </c>
      <c r="Y164" s="5">
        <f>COUNTIFS(   A4:A1440,"2019", D4:D1440,"Educación Matemática")</f>
        <v>6</v>
      </c>
      <c r="Z164" s="5">
        <f>COUNTIFS(   A4:A1440,"2020", D4:D1440,"Educación Matemática")</f>
        <v>9</v>
      </c>
      <c r="AA164" s="5">
        <f>COUNTIFS(   A4:A1440,"2021", D4:D1440,"Educación Matemática")</f>
        <v>3</v>
      </c>
      <c r="AB164" s="5">
        <f>COUNTIFS(  A4:A1440,"2022", D4:D1440,"Educación Matemática")</f>
        <v>0</v>
      </c>
      <c r="AC164" s="19">
        <f>COUNTIFS(   N4:N1440,"2018", D4:D1440,"Educación Matemática")</f>
        <v>6</v>
      </c>
      <c r="AD164" s="5">
        <f>COUNTIFS(   N4:N1440,"2019", D4:D1440,"Educación Matemática")</f>
        <v>4</v>
      </c>
      <c r="AE164" s="5">
        <f>COUNTIFS(   N4:N1440,"2020", D4:D1440,"Educación Matemática")</f>
        <v>4</v>
      </c>
      <c r="AF164" s="5">
        <f>COUNTIFS(   N4:N1440,"2021", D4:D1440,"Educación Matemática")</f>
        <v>9</v>
      </c>
      <c r="AG164" s="5">
        <f>COUNTIFS(   N4:N1440,"2022", D4:D1440,"Educación Matemática")</f>
        <v>2</v>
      </c>
      <c r="AH164" s="5">
        <f>COUNTIFS(   D4:D1440,"Educación Matemática",G4:G1440,"Sí")</f>
        <v>0</v>
      </c>
      <c r="AI164" s="5">
        <f>COUNTIFS(   D4:D1440,"Educación Matemática",G4:G1440,"No")</f>
        <v>25</v>
      </c>
      <c r="AJ164" s="5">
        <f>SUMIFS( E4:E1440, D4:D1440,"Educación Matemática",G4:G1440,"Sí")</f>
        <v>0</v>
      </c>
      <c r="AK164" s="5">
        <f>SUMIFS( E4:E1440, D4:D1440,"Educación Matemática",G4:G1440,"No")</f>
        <v>81</v>
      </c>
      <c r="AL164" s="5">
        <f>COUNTIFS(   D4:D1440,"Educación Matemática",H4:H1440,"Sí")</f>
        <v>19</v>
      </c>
      <c r="AM164" s="5">
        <f>COUNTIFS(   D4:D1440,"Educación Matemática",I4:I1440,"Sí")</f>
        <v>5</v>
      </c>
      <c r="AN164" s="5">
        <f>COUNTIFS(   D4:D1440,"Educación Matemática",I4:I1440,"No")</f>
        <v>20</v>
      </c>
      <c r="AO164" s="5">
        <f>SUMIFS( E4:E1440, D4:D1440,"Educación Matemática",I4:I1440,"Sí")</f>
        <v>27</v>
      </c>
      <c r="AP164" s="5">
        <f>SUMIFS( E4:E1440, D4:D1440,"Educación Matemática",I4:I1440,"No")</f>
        <v>54</v>
      </c>
      <c r="AQ164" s="5">
        <f>COUNTIFS(   D4:D1440,"Educación Matemática",J4:J1440,"Sí")</f>
        <v>25</v>
      </c>
      <c r="AR164" s="5">
        <f>COUNTIFS(   D4:D1440,"Educación Matemática",K4:K1440,"Sí")</f>
        <v>11</v>
      </c>
      <c r="AS164" s="5">
        <f>COUNTIFS(   D4:D1440,"Educación Matemática",L4:L1440,"Sí")</f>
        <v>0</v>
      </c>
      <c r="AT164" s="5">
        <f>SUMIFS( E4:E1440, D4:D1440,"Educación Matemática")</f>
        <v>81</v>
      </c>
      <c r="AU164" s="5">
        <f>SUMIFS( E4:E1440, F4:F1440,"Hombre", D4:D1440,"Educación Matemática")</f>
        <v>36</v>
      </c>
      <c r="AV164" s="5">
        <f>SUMIFS( E4:E1440, F4:F1440,"Mujer", D4:D1440,"Educación Matemática")</f>
        <v>45</v>
      </c>
      <c r="AW164" s="19">
        <f>SUMIFS( E4:E1440, A4:A1440,"2018", D4:D1440,"Educación Matemática")</f>
        <v>32</v>
      </c>
      <c r="AX164" s="5">
        <f>SUMIFS( E4:E1440, A4:A1440,"2019", D4:D1440,"Educación Matemática")</f>
        <v>13</v>
      </c>
      <c r="AY164" s="5">
        <f>SUMIFS( E4:E1440, A4:A1440,"2020", D4:D1440,"Educación Matemática")</f>
        <v>34</v>
      </c>
      <c r="AZ164" s="5">
        <f>SUMIFS( E4:E1440, A4:A1440,"2021", D4:D1440,"Educación Matemática")</f>
        <v>2</v>
      </c>
      <c r="BA164" s="5">
        <f>SUMIFS( E4:E1440, A4:A1440,"2022", D4:D1440,"Educación Matemática")</f>
        <v>0</v>
      </c>
      <c r="BB164" s="19">
        <f>SUMIFS( E4:E1440, N4:N1440,"2018", D4:D1440,"Educación Matemática")</f>
        <v>32</v>
      </c>
      <c r="BC164" s="5">
        <f>SUMIFS( E4:E1440, N4:N1440,"2019", D4:D1440,"Educación Matemática")</f>
        <v>9</v>
      </c>
      <c r="BD164" s="5">
        <f>SUMIFS( E4:E1440, N4:N1440,"2020", D4:D1440,"Educación Matemática")</f>
        <v>5</v>
      </c>
      <c r="BE164" s="5">
        <f>SUMIFS( E4:E1440, N4:N1440,"2021", D4:D1440,"Educación Matemática")</f>
        <v>34</v>
      </c>
      <c r="BF164" s="5">
        <f>SUMIFS( E4:E1440, N4:N1440,"2022", D4:D1440,"Educación Matemática")</f>
        <v>1</v>
      </c>
      <c r="BG164" s="14">
        <f>AVERAGEIFS( E4:E1440, D4:D1440,"Educación Matemática")</f>
        <v>4.05</v>
      </c>
      <c r="BH164" s="14">
        <v>0</v>
      </c>
      <c r="BI164" s="14">
        <v>0</v>
      </c>
      <c r="BJ164" s="14">
        <v>0</v>
      </c>
      <c r="BK164" s="14">
        <v>0</v>
      </c>
      <c r="BL164" s="37" t="e">
        <f>AVERAGEIFS( E4:E1440, A4:A1440,"2022", D4:D1440,"Educación Matemática")</f>
        <v>#DIV/0!</v>
      </c>
      <c r="BM164" s="14">
        <v>3</v>
      </c>
      <c r="BN164" s="14">
        <v>0</v>
      </c>
      <c r="BO164" s="14">
        <v>0</v>
      </c>
      <c r="BP164" s="14">
        <v>0</v>
      </c>
      <c r="BQ164" s="14">
        <v>0</v>
      </c>
      <c r="BR164" s="14">
        <v>3</v>
      </c>
    </row>
    <row r="165" spans="1:70" ht="15" customHeight="1">
      <c r="A165" s="24">
        <v>2018</v>
      </c>
      <c r="B165" s="24" t="s">
        <v>136</v>
      </c>
      <c r="C165" s="24" t="s">
        <v>168</v>
      </c>
      <c r="D165" s="24" t="s">
        <v>170</v>
      </c>
      <c r="E165" s="23"/>
      <c r="F165" s="24" t="s">
        <v>211</v>
      </c>
      <c r="G165" s="24" t="s">
        <v>225</v>
      </c>
      <c r="H165" s="23" t="s">
        <v>225</v>
      </c>
      <c r="I165" s="24" t="s">
        <v>226</v>
      </c>
      <c r="J165" s="23" t="s">
        <v>226</v>
      </c>
      <c r="K165" s="24" t="s">
        <v>226</v>
      </c>
      <c r="L165" s="23"/>
      <c r="M165" s="25">
        <v>43529</v>
      </c>
      <c r="N165" s="24">
        <v>2019</v>
      </c>
      <c r="O165" s="67" t="s">
        <v>138</v>
      </c>
      <c r="P165" s="68"/>
      <c r="Q165" s="68"/>
      <c r="R165" s="68"/>
      <c r="S165" s="68"/>
      <c r="T165" s="69"/>
      <c r="U165" s="5">
        <f>COUNTIFS(   D4:D1440,"Investigación en Educación Física y Deportiva")</f>
        <v>29</v>
      </c>
      <c r="V165" s="5">
        <f>COUNTIFS(   D4:D1440,"Investigación en Educación Física y Deportiva",F4:F1440,"Hombre")</f>
        <v>18</v>
      </c>
      <c r="W165" s="5">
        <f>COUNTIFS(   D4:D1440,"Investigación en Educación Física y Deportiva",F4:F1440,"Mujer")</f>
        <v>11</v>
      </c>
      <c r="X165" s="19">
        <f>COUNTIFS(   A4:A1440,"2018", D4:D1440,"Investigación en Educación Física y Deportiva")</f>
        <v>5</v>
      </c>
      <c r="Y165" s="5">
        <f>COUNTIFS(   A4:A1440,"2019", D4:D1440,"Investigación en Educación Física y Deportiva")</f>
        <v>6</v>
      </c>
      <c r="Z165" s="5">
        <f>COUNTIFS(   A4:A1440,"2020", D4:D1440,"Investigación en Educación Física y Deportiva")</f>
        <v>8</v>
      </c>
      <c r="AA165" s="5">
        <f>COUNTIFS(   A4:A1440,"2021", D4:D1440,"Investigación en Educación Física y Deportiva")</f>
        <v>10</v>
      </c>
      <c r="AB165" s="5">
        <f>COUNTIFS(  A4:A1440,"2022", D4:D1440,"Investigación en Educación Física y Deportiva")</f>
        <v>0</v>
      </c>
      <c r="AC165" s="19">
        <f>COUNTIFS(   N4:N1440,"2018", D4:D1440,"Investigación en Educación Física y Deportiva")</f>
        <v>0</v>
      </c>
      <c r="AD165" s="5">
        <f>COUNTIFS(   N4:N1440,"2019", D4:D1440,"Investigación en Educación Física y Deportiva")</f>
        <v>8</v>
      </c>
      <c r="AE165" s="5">
        <f>COUNTIFS(   N4:N1440,"2020", D4:D1440,"Investigación en Educación Física y Deportiva")</f>
        <v>5</v>
      </c>
      <c r="AF165" s="5">
        <f>COUNTIFS(   N4:N1440,"2021", D4:D1440,"Investigación en Educación Física y Deportiva")</f>
        <v>10</v>
      </c>
      <c r="AG165" s="5">
        <f>COUNTIFS(   N4:N1440,"2022", D4:D1440,"Investigación en Educación Física y Deportiva")</f>
        <v>6</v>
      </c>
      <c r="AH165" s="5">
        <f>COUNTIFS(   D4:D1440,"Investigación en Educación Física y Deportiva",G4:G1440,"Sí")</f>
        <v>0</v>
      </c>
      <c r="AI165" s="5">
        <f>COUNTIFS(   D4:D1440,"Investigación en Educación Física y Deportiva",G4:G1440,"No")</f>
        <v>29</v>
      </c>
      <c r="AJ165" s="5">
        <f>SUMIFS( E4:E1440, D4:D1440,"Investigación en Educación Física y Deportiva",G4:G1440,"Sí")</f>
        <v>0</v>
      </c>
      <c r="AK165" s="5">
        <f>SUMIFS( E4:E1440, D4:D1440,"Investigación en Educación Física y Deportiva",G4:G1440,"No")</f>
        <v>221</v>
      </c>
      <c r="AL165" s="5">
        <f>COUNTIFS(   D4:D1440,"Investigación en Educación Física y Deportiva",H4:H1440,"Sí")</f>
        <v>27</v>
      </c>
      <c r="AM165" s="5">
        <f>COUNTIFS(   D4:D1440,"Investigación en Educación Física y Deportiva",I4:I1440,"Sí")</f>
        <v>10</v>
      </c>
      <c r="AN165" s="5">
        <f>COUNTIFS(   D4:D1440,"Investigación en Educación Física y Deportiva",I4:I1440,"No")</f>
        <v>19</v>
      </c>
      <c r="AO165" s="5">
        <f>SUMIFS( E4:E1440, D4:D1440,"Investigación en Educación Física y Deportiva",I4:I1440,"Sí")</f>
        <v>121</v>
      </c>
      <c r="AP165" s="5">
        <f>SUMIFS( E4:E1440, D4:D1440,"Investigación en Educación Física y Deportiva",I4:I1440,"No")</f>
        <v>100</v>
      </c>
      <c r="AQ165" s="5">
        <f>COUNTIFS(   D4:D1440,"Investigación en Educación Física y Deportiva",J4:J1440,"Sí")</f>
        <v>29</v>
      </c>
      <c r="AR165" s="5">
        <f>COUNTIFS(   D4:D1440,"Investigación en Educación Física y Deportiva",K4:K1440,"Sí")</f>
        <v>8</v>
      </c>
      <c r="AS165" s="5">
        <f>COUNTIFS(   D4:D1440,"Investigación en Educación Física y Deportiva",L4:L1440,"Sí")</f>
        <v>0</v>
      </c>
      <c r="AT165" s="5">
        <f>SUMIFS( E4:E1440, D4:D1440,"Investigación en Educación Física y Deportiva")</f>
        <v>221</v>
      </c>
      <c r="AU165" s="5">
        <f>SUMIFS( E4:E1440, F4:F1440,"Hombre", D4:D1440,"Investigación en Educación Física y Deportiva")</f>
        <v>132</v>
      </c>
      <c r="AV165" s="5">
        <f>SUMIFS( E4:E1440, F4:F1440,"Mujer", D4:D1440,"Investigación en Educación Física y Deportiva")</f>
        <v>89</v>
      </c>
      <c r="AW165" s="19">
        <f>SUMIFS( E4:E1440, A4:A1440,"2018", D4:D1440,"Investigación en Educación Física y Deportiva")</f>
        <v>37</v>
      </c>
      <c r="AX165" s="5">
        <f>SUMIFS( E4:E1440, A4:A1440,"2019", D4:D1440,"Investigación en Educación Física y Deportiva")</f>
        <v>54</v>
      </c>
      <c r="AY165" s="5">
        <f>SUMIFS( E4:E1440, A4:A1440,"2020", D4:D1440,"Investigación en Educación Física y Deportiva")</f>
        <v>42</v>
      </c>
      <c r="AZ165" s="5">
        <f>SUMIFS( E4:E1440, A4:A1440,"2021", D4:D1440,"Investigación en Educación Física y Deportiva")</f>
        <v>88</v>
      </c>
      <c r="BA165" s="5">
        <f>SUMIFS( E4:E1440, A4:A1440,"2022", D4:D1440,"Investigación en Educación Física y Deportiva")</f>
        <v>0</v>
      </c>
      <c r="BB165" s="19">
        <f>SUMIFS( E4:E1440, N4:N1440,"2018", D4:D1440,"Investigación en Educación Física y Deportiva")</f>
        <v>0</v>
      </c>
      <c r="BC165" s="5">
        <f>SUMIFS( E4:E1440, N4:N1440,"2019", D4:D1440,"Investigación en Educación Física y Deportiva")</f>
        <v>51</v>
      </c>
      <c r="BD165" s="5">
        <f>SUMIFS( E4:E1440, N4:N1440,"2020", D4:D1440,"Investigación en Educación Física y Deportiva")</f>
        <v>63</v>
      </c>
      <c r="BE165" s="5">
        <f>SUMIFS( E4:E1440, N4:N1440,"2021", D4:D1440,"Investigación en Educación Física y Deportiva")</f>
        <v>88</v>
      </c>
      <c r="BF165" s="5">
        <f>SUMIFS( E4:E1440, N4:N1440,"2022", D4:D1440,"Investigación en Educación Física y Deportiva")</f>
        <v>19</v>
      </c>
      <c r="BG165" s="14">
        <f>AVERAGEIFS( E4:E1440, D4:D1440,"Investigación en Educación Física y Deportiva")</f>
        <v>8.1851851851851851</v>
      </c>
      <c r="BH165" s="14">
        <v>0</v>
      </c>
      <c r="BI165" s="14">
        <v>0</v>
      </c>
      <c r="BJ165" s="14">
        <f>AVERAGEIFS( E4:E1440, A4:A1440,"2020", D4:D1440,"Investigación en Educación Física y Deportiva")</f>
        <v>6</v>
      </c>
      <c r="BK165" s="14">
        <f>AVERAGEIFS( E4:E1440, A4:A1440,"2021", D4:D1440,"Investigación en Educación Física y Deportiva")</f>
        <v>8.8000000000000007</v>
      </c>
      <c r="BL165" s="37" t="e">
        <f>AVERAGEIFS( E4:E1440, A4:A1440,"2022", D4:D1440,"Investigación en Educación Física y Deportiva")</f>
        <v>#DIV/0!</v>
      </c>
      <c r="BM165" s="14">
        <v>17.266666666666666</v>
      </c>
      <c r="BN165" s="14">
        <v>0</v>
      </c>
      <c r="BO165" s="14">
        <v>0</v>
      </c>
      <c r="BP165" s="14">
        <v>30</v>
      </c>
      <c r="BQ165" s="14">
        <v>11.875</v>
      </c>
      <c r="BR165" s="14">
        <v>18.5</v>
      </c>
    </row>
    <row r="166" spans="1:70" ht="15" customHeight="1">
      <c r="A166" s="24">
        <v>2018</v>
      </c>
      <c r="B166" s="24" t="s">
        <v>136</v>
      </c>
      <c r="C166" s="24" t="s">
        <v>137</v>
      </c>
      <c r="D166" s="24" t="s">
        <v>142</v>
      </c>
      <c r="E166" s="23">
        <v>2</v>
      </c>
      <c r="F166" s="24" t="s">
        <v>211</v>
      </c>
      <c r="G166" s="24" t="s">
        <v>225</v>
      </c>
      <c r="H166" s="23" t="s">
        <v>226</v>
      </c>
      <c r="I166" s="24" t="s">
        <v>225</v>
      </c>
      <c r="J166" s="23" t="s">
        <v>226</v>
      </c>
      <c r="K166" s="24" t="s">
        <v>226</v>
      </c>
      <c r="L166" s="23"/>
      <c r="M166" s="25">
        <v>43529</v>
      </c>
      <c r="N166" s="24">
        <v>2019</v>
      </c>
      <c r="O166" s="67" t="s">
        <v>143</v>
      </c>
      <c r="P166" s="68"/>
      <c r="Q166" s="68"/>
      <c r="R166" s="68"/>
      <c r="S166" s="68"/>
      <c r="T166" s="69"/>
      <c r="U166" s="5">
        <f>COUNTIFS(   D4:D1440,"Investigación en Educación Musical y en Artes Plásticas")</f>
        <v>8</v>
      </c>
      <c r="V166" s="5">
        <f>COUNTIFS(   D4:D1440,"Investigación en Educación Musical y en Artes Plásticas",F4:F1440,"Hombre")</f>
        <v>5</v>
      </c>
      <c r="W166" s="5">
        <f>COUNTIFS(   D4:D1440,"Investigación en Educación Musical y en Artes Plásticas",F4:F1440,"Mujer")</f>
        <v>3</v>
      </c>
      <c r="X166" s="19">
        <f>COUNTIFS(   A4:A1440,"2018", D4:D1440,"Investigación en Educación Musical y en Artes Plásticas")</f>
        <v>0</v>
      </c>
      <c r="Y166" s="5">
        <f>COUNTIFS(   A4:A1440,"2019", D4:D1440,"Investigación en Educación Musical y en Artes Plásticas")</f>
        <v>3</v>
      </c>
      <c r="Z166" s="5">
        <f>COUNTIFS(   A4:A1440,"2020", D4:D1440,"Investigación en Educación Musical y en Artes Plásticas")</f>
        <v>3</v>
      </c>
      <c r="AA166" s="5">
        <f>COUNTIFS(   A4:A1440,"2021", D4:D1440,"Investigación en Educación Musical y en Artes Plásticas")</f>
        <v>2</v>
      </c>
      <c r="AB166" s="5">
        <f>COUNTIFS(  A4:A1440,"2022", D4:D1440,"Investigación en Educación Musical y en Artes Plásticas")</f>
        <v>0</v>
      </c>
      <c r="AC166" s="19">
        <f>COUNTIFS(   N4:N1440,"2018", D4:D1440,"Investigación en Educación Musical y en Artes Plásticas")</f>
        <v>0</v>
      </c>
      <c r="AD166" s="5">
        <f>COUNTIFS(   N4:N1440,"2019", D4:D1440,"Investigación en Educación Musical y en Artes Plásticas")</f>
        <v>1</v>
      </c>
      <c r="AE166" s="5">
        <f>COUNTIFS(   N4:N1440,"2020", D4:D1440,"Investigación en Educación Musical y en Artes Plásticas")</f>
        <v>3</v>
      </c>
      <c r="AF166" s="5">
        <f>COUNTIFS(   N4:N1440,"2021", D4:D1440,"Investigación en Educación Musical y en Artes Plásticas")</f>
        <v>2</v>
      </c>
      <c r="AG166" s="5">
        <f>COUNTIFS(   N4:N1440,"2022", D4:D1440,"Investigación en Educación Musical y en Artes Plásticas")</f>
        <v>2</v>
      </c>
      <c r="AH166" s="5">
        <f>COUNTIFS(   D4:D1440,"Investigación en Educación Musical y en Artes Plásticas",G4:G1440,"Sí")</f>
        <v>0</v>
      </c>
      <c r="AI166" s="5">
        <f>COUNTIFS(   D4:D1440,"Investigación en Educación Musical y en Artes Plásticas",G4:G1440,"No")</f>
        <v>8</v>
      </c>
      <c r="AJ166" s="5">
        <f>SUMIFS( E4:E1440, D4:D1440,"Investigación en Educación Musical y en Artes Plásticas",G4:G1440,"Sí")</f>
        <v>0</v>
      </c>
      <c r="AK166" s="5">
        <f>SUMIFS( E4:E1440, D4:D1440,"Investigación en Educación Musical y en Artes Plásticas",G4:G1440,"No")</f>
        <v>21</v>
      </c>
      <c r="AL166" s="5">
        <f>COUNTIFS(   D4:D1440,"Investigación en Educación Musical y en Artes Plásticas",H4:H1440,"Sí")</f>
        <v>8</v>
      </c>
      <c r="AM166" s="5">
        <f>COUNTIFS(   D4:D1440,"Investigación en Educación Musical y en Artes Plásticas",I4:I1440,"Sí")</f>
        <v>3</v>
      </c>
      <c r="AN166" s="5">
        <f>COUNTIFS(   D4:D1440,"Investigación en Educación Musical y en Artes Plásticas",I4:I1440,"No")</f>
        <v>5</v>
      </c>
      <c r="AO166" s="5">
        <f>SUMIFS( E4:E1440, D4:D1440,"Investigación en Educación Musical y en Artes Plásticas",I4:I1440,"Sí")</f>
        <v>8</v>
      </c>
      <c r="AP166" s="5">
        <f>SUMIFS( E4:E1440, D4:D1440,"Investigación en Educación Musical y en Artes Plásticas",I4:I1440,"No")</f>
        <v>13</v>
      </c>
      <c r="AQ166" s="5">
        <f>COUNTIFS(   D4:D1440,"Investigación en Educación Musical y en Artes Plásticas",J4:J1440,"Sí")</f>
        <v>8</v>
      </c>
      <c r="AR166" s="5">
        <f>COUNTIFS(   D4:D1440,"Investigación en Educación Musical y en Artes Plásticas",K4:K1440,"Sí")</f>
        <v>1</v>
      </c>
      <c r="AS166" s="5">
        <f>COUNTIFS(   D4:D1440,"Investigación en Educación Musical y en Artes Plásticas",L4:L1440,"Sí")</f>
        <v>0</v>
      </c>
      <c r="AT166" s="5">
        <f>SUMIFS( E4:E1440, D4:D1440,"Investigación en Educación Musical y en Artes Plásticas")</f>
        <v>21</v>
      </c>
      <c r="AU166" s="5">
        <f>SUMIFS( E4:E1440, F4:F1440,"Hombre", D4:D1440,"Investigación en Educación Musical y en Artes Plásticas")</f>
        <v>17</v>
      </c>
      <c r="AV166" s="5">
        <f>SUMIFS( E4:E1440, F4:F1440,"Mujer", D4:D1440,"Investigación en Educación Musical y en Artes Plásticas")</f>
        <v>4</v>
      </c>
      <c r="AW166" s="19">
        <f>SUMIFS( E4:E1440, A4:A1440,"2018", D4:D1440,"Investigación en Educación Musical y en Artes Plásticas")</f>
        <v>0</v>
      </c>
      <c r="AX166" s="5">
        <f>SUMIFS( E4:E1440, A4:A1440,"2019", D4:D1440,"Investigación en Educación Musical y en Artes Plásticas")</f>
        <v>6</v>
      </c>
      <c r="AY166" s="5">
        <f>SUMIFS( E4:E1440, A4:A1440,"2020", D4:D1440,"Investigación en Educación Musical y en Artes Plásticas")</f>
        <v>12</v>
      </c>
      <c r="AZ166" s="5">
        <f>SUMIFS( E4:E1440, A4:A1440,"2021", D4:D1440,"Investigación en Educación Musical y en Artes Plásticas")</f>
        <v>3</v>
      </c>
      <c r="BA166" s="5">
        <f>SUMIFS( E4:E1440, A4:A1440,"2022", D4:D1440,"Investigación en Educación Musical y en Artes Plásticas")</f>
        <v>0</v>
      </c>
      <c r="BB166" s="19">
        <f>SUMIFS( E4:E1440, N4:N1440,"2018", D4:D1440,"Investigación en Educación Musical y en Artes Plásticas")</f>
        <v>0</v>
      </c>
      <c r="BC166" s="5">
        <f>SUMIFS( E4:E1440, N4:N1440,"2019", D4:D1440,"Investigación en Educación Musical y en Artes Plásticas")</f>
        <v>4</v>
      </c>
      <c r="BD166" s="5">
        <f>SUMIFS( E4:E1440, N4:N1440,"2020", D4:D1440,"Investigación en Educación Musical y en Artes Plásticas")</f>
        <v>10</v>
      </c>
      <c r="BE166" s="5">
        <f>SUMIFS( E4:E1440, N4:N1440,"2021", D4:D1440,"Investigación en Educación Musical y en Artes Plásticas")</f>
        <v>4</v>
      </c>
      <c r="BF166" s="5">
        <f>SUMIFS( E4:E1440, N4:N1440,"2022", D4:D1440,"Investigación en Educación Musical y en Artes Plásticas")</f>
        <v>3</v>
      </c>
      <c r="BG166" s="14">
        <f>AVERAGEIFS( E4:E1440, D4:D1440,"Investigación en Educación Musical y en Artes Plásticas")</f>
        <v>2.625</v>
      </c>
      <c r="BH166" s="14">
        <v>0</v>
      </c>
      <c r="BI166" s="14">
        <v>0</v>
      </c>
      <c r="BJ166" s="14">
        <v>0</v>
      </c>
      <c r="BK166" s="14">
        <v>0</v>
      </c>
      <c r="BL166" s="37" t="e">
        <f>AVERAGEIFS( E4:E1440, A4:A1440,"2022", D4:D1440,"Investigación en Educación Musical y en Artes Plásticas")</f>
        <v>#DIV/0!</v>
      </c>
      <c r="BM166" s="14">
        <v>3</v>
      </c>
      <c r="BN166" s="14">
        <v>0</v>
      </c>
      <c r="BO166" s="14">
        <v>0</v>
      </c>
      <c r="BP166" s="14">
        <v>0</v>
      </c>
      <c r="BQ166" s="14">
        <v>0</v>
      </c>
      <c r="BR166" s="14">
        <v>3</v>
      </c>
    </row>
    <row r="167" spans="1:70" ht="15" customHeight="1">
      <c r="A167" s="24">
        <v>2018</v>
      </c>
      <c r="B167" s="24" t="s">
        <v>136</v>
      </c>
      <c r="C167" s="24" t="s">
        <v>176</v>
      </c>
      <c r="D167" s="24" t="s">
        <v>177</v>
      </c>
      <c r="E167" s="23"/>
      <c r="F167" s="24" t="s">
        <v>207</v>
      </c>
      <c r="G167" s="24" t="s">
        <v>225</v>
      </c>
      <c r="H167" s="23" t="s">
        <v>225</v>
      </c>
      <c r="I167" s="24" t="s">
        <v>225</v>
      </c>
      <c r="J167" s="23" t="s">
        <v>226</v>
      </c>
      <c r="K167" s="24" t="s">
        <v>226</v>
      </c>
      <c r="L167" s="23"/>
      <c r="M167" s="25">
        <v>43529</v>
      </c>
      <c r="N167" s="24">
        <v>2019</v>
      </c>
      <c r="O167" s="67" t="s">
        <v>144</v>
      </c>
      <c r="P167" s="68"/>
      <c r="Q167" s="68"/>
      <c r="R167" s="68"/>
      <c r="S167" s="68"/>
      <c r="T167" s="69"/>
      <c r="U167" s="5">
        <f>COUNTIFS(   D4:D1440,"Investigación en Educación: Aspectos Teóricos, Históricos y de Educación Social")</f>
        <v>14</v>
      </c>
      <c r="V167" s="5">
        <f>COUNTIFS(   D4:D1440,"Investigación en Educación: Aspectos Teóricos, Históricos y de Educación Social",F4:F1440,"Hombre")</f>
        <v>5</v>
      </c>
      <c r="W167" s="5">
        <f>COUNTIFS(   D4:D1440,"Investigación en Educación: Aspectos Teóricos, Históricos y de Educación Social",F4:F1440,"Mujer")</f>
        <v>9</v>
      </c>
      <c r="X167" s="19">
        <f>COUNTIFS(   A4:A1440,"2018", D4:D1440,"Investigación en Educación: Aspectos Teóricos, Históricos y de Educación Social")</f>
        <v>2</v>
      </c>
      <c r="Y167" s="5">
        <f>COUNTIFS(   A4:A1440,"2019", D4:D1440,"Investigación en Educación: Aspectos Teóricos, Históricos y de Educación Social")</f>
        <v>4</v>
      </c>
      <c r="Z167" s="5">
        <f>COUNTIFS(   A4:A1440,"2020", D4:D1440,"Investigación en Educación: Aspectos Teóricos, Históricos y de Educación Social")</f>
        <v>6</v>
      </c>
      <c r="AA167" s="5">
        <f>COUNTIFS(   A4:A1440,"2021", D4:D1440,"Investigación en Educación: Aspectos Teóricos, Históricos y de Educación Social")</f>
        <v>2</v>
      </c>
      <c r="AB167" s="5">
        <f>COUNTIFS(  A4:A1440,"2022", D4:D1440,"Investigación en Educación: Aspectos Teóricos, Históricos y de Educación Social")</f>
        <v>0</v>
      </c>
      <c r="AC167" s="19">
        <f>COUNTIFS(   N4:N1440,"2018", D4:D1440,"Investigación en Educación: Aspectos Teóricos, Históricos y de Educación Social")</f>
        <v>2</v>
      </c>
      <c r="AD167" s="5">
        <f>COUNTIFS(   N4:N1440,"2019", D4:D1440,"Investigación en Educación: Aspectos Teóricos, Históricos y de Educación Social")</f>
        <v>2</v>
      </c>
      <c r="AE167" s="5">
        <f>COUNTIFS(   N4:N1440,"2020", D4:D1440,"Investigación en Educación: Aspectos Teóricos, Históricos y de Educación Social")</f>
        <v>6</v>
      </c>
      <c r="AF167" s="5">
        <f>COUNTIFS(   N4:N1440,"2021", D4:D1440,"Investigación en Educación: Aspectos Teóricos, Históricos y de Educación Social")</f>
        <v>2</v>
      </c>
      <c r="AG167" s="5">
        <f>COUNTIFS(   N4:N1440,"2022", D4:D1440,"Investigación en Educación: Aspectos Teóricos, Históricos y de Educación Social")</f>
        <v>2</v>
      </c>
      <c r="AH167" s="5">
        <f>COUNTIFS(   D4:D1440,"Investigación en Educación: Aspectos Teóricos, Históricos y de Educación Social",G4:G1440,"Sí")</f>
        <v>0</v>
      </c>
      <c r="AI167" s="5">
        <f>COUNTIFS(   D4:D1440,"Investigación en Educación: Aspectos Teóricos, Históricos y de Educación Social",G4:G1440,"No")</f>
        <v>14</v>
      </c>
      <c r="AJ167" s="5">
        <f>SUMIFS( E4:E1440, D4:D1440,"Investigación en Educación: Aspectos Teóricos, Históricos y de Educación Social",G4:G1440,"Sí")</f>
        <v>0</v>
      </c>
      <c r="AK167" s="5">
        <f>SUMIFS( E4:E1440, D4:D1440,"Investigación en Educación: Aspectos Teóricos, Históricos y de Educación Social",G4:G1440,"No")</f>
        <v>66</v>
      </c>
      <c r="AL167" s="5">
        <f>COUNTIFS(   D4:D1440,"Investigación en Educación: Aspectos Teóricos, Históricos y de Educación Social",H4:H1440,"Sí")</f>
        <v>10</v>
      </c>
      <c r="AM167" s="5">
        <f>COUNTIFS(   D4:D1440,"Investigación en Educación: Aspectos Teóricos, Históricos y de Educación Social",I4:I1440,"Sí")</f>
        <v>9</v>
      </c>
      <c r="AN167" s="5">
        <f>COUNTIFS(   D4:D1440,"Investigación en Educación: Aspectos Teóricos, Históricos y de Educación Social",I4:I1440,"No")</f>
        <v>5</v>
      </c>
      <c r="AO167" s="5">
        <f>SUMIFS( E4:E1440, D4:D1440,"Investigación en Educación: Aspectos Teóricos, Históricos y de Educación Social",I4:I1440,"Sí")</f>
        <v>62</v>
      </c>
      <c r="AP167" s="5">
        <f>SUMIFS( E4:E1440, D4:D1440,"Investigación en Educación: Aspectos Teóricos, Históricos y de Educación Social",I4:I1440,"No")</f>
        <v>4</v>
      </c>
      <c r="AQ167" s="5">
        <f>COUNTIFS(   D4:D1440,"Investigación en Educación: Aspectos Teóricos, Históricos y de Educación Social",J4:J1440,"Sí")</f>
        <v>14</v>
      </c>
      <c r="AR167" s="5">
        <f>COUNTIFS(   D4:D1440,"Investigación en Educación: Aspectos Teóricos, Históricos y de Educación Social",K4:K1440,"Sí")</f>
        <v>4</v>
      </c>
      <c r="AS167" s="5">
        <f>COUNTIFS(   D4:D1440,"Investigación en Educación: Aspectos Teóricos, Históricos y de Educación Social",L4:L1440,"Sí")</f>
        <v>0</v>
      </c>
      <c r="AT167" s="5">
        <f>SUMIFS( E4:E1440, D4:D1440,"Investigación en Educación: Aspectos Teóricos, Históricos y de Educación Social")</f>
        <v>66</v>
      </c>
      <c r="AU167" s="5">
        <f>SUMIFS( E4:E1440, F4:F1440,"Hombre", D4:D1440,"Investigación en Educación: Aspectos Teóricos, Históricos y de Educación Social")</f>
        <v>11</v>
      </c>
      <c r="AV167" s="5">
        <f>SUMIFS( E4:E1440, F4:F1440,"Mujer", D4:D1440,"Investigación en Educación: Aspectos Teóricos, Históricos y de Educación Social")</f>
        <v>55</v>
      </c>
      <c r="AW167" s="19">
        <f>SUMIFS( E4:E1440, A4:A1440,"2018", D4:D1440,"Investigación en Educación: Aspectos Teóricos, Históricos y de Educación Social")</f>
        <v>5</v>
      </c>
      <c r="AX167" s="5">
        <f>SUMIFS( E4:E1440, A4:A1440,"2019", D4:D1440,"Investigación en Educación: Aspectos Teóricos, Históricos y de Educación Social")</f>
        <v>52</v>
      </c>
      <c r="AY167" s="5">
        <f>SUMIFS( E4:E1440, A4:A1440,"2020", D4:D1440,"Investigación en Educación: Aspectos Teóricos, Históricos y de Educación Social")</f>
        <v>6</v>
      </c>
      <c r="AZ167" s="5">
        <f>SUMIFS( E4:E1440, A4:A1440,"2021", D4:D1440,"Investigación en Educación: Aspectos Teóricos, Históricos y de Educación Social")</f>
        <v>3</v>
      </c>
      <c r="BA167" s="5">
        <f>SUMIFS( E4:E1440, A4:A1440,"2022", D4:D1440,"Investigación en Educación: Aspectos Teóricos, Históricos y de Educación Social")</f>
        <v>0</v>
      </c>
      <c r="BB167" s="19">
        <f>SUMIFS( E4:E1440, N4:N1440,"2018", D4:D1440,"Investigación en Educación: Aspectos Teóricos, Históricos y de Educación Social")</f>
        <v>5</v>
      </c>
      <c r="BC167" s="5">
        <f>SUMIFS( E4:E1440, N4:N1440,"2019", D4:D1440,"Investigación en Educación: Aspectos Teóricos, Históricos y de Educación Social")</f>
        <v>25</v>
      </c>
      <c r="BD167" s="5">
        <f>SUMIFS( E4:E1440, N4:N1440,"2020", D4:D1440,"Investigación en Educación: Aspectos Teóricos, Históricos y de Educación Social")</f>
        <v>30</v>
      </c>
      <c r="BE167" s="5">
        <f>SUMIFS( E4:E1440, N4:N1440,"2021", D4:D1440,"Investigación en Educación: Aspectos Teóricos, Históricos y de Educación Social")</f>
        <v>3</v>
      </c>
      <c r="BF167" s="5">
        <f>SUMIFS( E4:E1440, N4:N1440,"2022", D4:D1440,"Investigación en Educación: Aspectos Teóricos, Históricos y de Educación Social")</f>
        <v>3</v>
      </c>
      <c r="BG167" s="14">
        <f>AVERAGEIFS( E4:E1440, D4:D1440,"Investigación en Educación: Aspectos Teóricos, Históricos y de Educación Social")</f>
        <v>6</v>
      </c>
      <c r="BH167" s="14">
        <v>0</v>
      </c>
      <c r="BI167" s="14">
        <v>0</v>
      </c>
      <c r="BJ167" s="14">
        <f>AVERAGEIFS( E4:E1440, A4:A1440,"2020", D4:D1440,"Investigación en Educación: Aspectos Teóricos, Históricos y de Educación Social")</f>
        <v>1.5</v>
      </c>
      <c r="BK167" s="14">
        <f>AVERAGEIFS( E4:E1440, A4:A1440,"2021", D4:D1440,"Investigación en Educación: Aspectos Teóricos, Históricos y de Educación Social")</f>
        <v>1.5</v>
      </c>
      <c r="BL167" s="37">
        <v>0</v>
      </c>
      <c r="BM167" s="14">
        <v>0.5</v>
      </c>
      <c r="BN167" s="14">
        <v>0</v>
      </c>
      <c r="BO167" s="14">
        <v>0</v>
      </c>
      <c r="BP167" s="14">
        <v>0</v>
      </c>
      <c r="BQ167" s="14">
        <v>0.66666666666666663</v>
      </c>
      <c r="BR167" s="14">
        <v>0</v>
      </c>
    </row>
    <row r="168" spans="1:70" ht="15" customHeight="1">
      <c r="A168" s="24">
        <v>2018</v>
      </c>
      <c r="B168" s="24" t="s">
        <v>136</v>
      </c>
      <c r="C168" s="24" t="s">
        <v>146</v>
      </c>
      <c r="D168" s="24" t="s">
        <v>147</v>
      </c>
      <c r="E168" s="23">
        <v>2</v>
      </c>
      <c r="F168" s="24" t="s">
        <v>211</v>
      </c>
      <c r="G168" s="24" t="s">
        <v>225</v>
      </c>
      <c r="H168" s="23" t="s">
        <v>226</v>
      </c>
      <c r="I168" s="24" t="s">
        <v>225</v>
      </c>
      <c r="J168" s="23" t="s">
        <v>226</v>
      </c>
      <c r="K168" s="24" t="s">
        <v>226</v>
      </c>
      <c r="L168" s="23"/>
      <c r="M168" s="25">
        <v>43533</v>
      </c>
      <c r="N168" s="24">
        <v>2019</v>
      </c>
      <c r="O168" s="67" t="s">
        <v>139</v>
      </c>
      <c r="P168" s="68"/>
      <c r="Q168" s="68"/>
      <c r="R168" s="68"/>
      <c r="S168" s="68"/>
      <c r="T168" s="69"/>
      <c r="U168" s="5">
        <f>COUNTIFS(   D4:D1440,"Psicología, Educación y Desarrollo")</f>
        <v>4</v>
      </c>
      <c r="V168" s="5">
        <f>COUNTIFS(   D4:D1440,"Psicología, Educación y Desarrollo",F4:F1440,"Hombre")</f>
        <v>2</v>
      </c>
      <c r="W168" s="5">
        <f>COUNTIFS(   D4:D1440,"Psicología, Educación y Desarrollo",F4:F1440,"Mujer")</f>
        <v>2</v>
      </c>
      <c r="X168" s="19">
        <f>COUNTIFS(   A4:A1440,"2018", D4:D1440,"Psicología, Educación y Desarrollo")</f>
        <v>1</v>
      </c>
      <c r="Y168" s="5">
        <f>COUNTIFS(   A4:A1440,"2019", D4:D1440,"Psicología, Educación y Desarrollo")</f>
        <v>1</v>
      </c>
      <c r="Z168" s="5">
        <f>COUNTIFS(   A4:A1440,"2020", D4:D1440,"Psicología, Educación y Desarrollo")</f>
        <v>1</v>
      </c>
      <c r="AA168" s="5">
        <f>COUNTIFS(   A4:A1440,"2021", D4:D1440,"Psicología, Educación y Desarrollo")</f>
        <v>1</v>
      </c>
      <c r="AB168" s="5">
        <f>COUNTIFS(  A4:A1440,"2022", D4:D1440,"Psicología, Educación y Desarrollo")</f>
        <v>0</v>
      </c>
      <c r="AC168" s="19">
        <f>COUNTIFS(   N4:N1440,"2018", D4:D1440,"Psicología, Educación y Desarrollo")</f>
        <v>1</v>
      </c>
      <c r="AD168" s="5">
        <f>COUNTIFS(   N4:N1440,"2019", D4:D1440,"Psicología, Educación y Desarrollo")</f>
        <v>0</v>
      </c>
      <c r="AE168" s="5">
        <f>COUNTIFS(   N4:N1440,"2020", D4:D1440,"Psicología, Educación y Desarrollo")</f>
        <v>2</v>
      </c>
      <c r="AF168" s="5">
        <f>COUNTIFS(   N4:N1440,"2021", D4:D1440,"Psicología, Educación y Desarrollo")</f>
        <v>1</v>
      </c>
      <c r="AG168" s="5">
        <f>COUNTIFS(   N4:N1440,"2022", D4:D1440,"Psicología, Educación y Desarrollo")</f>
        <v>0</v>
      </c>
      <c r="AH168" s="5">
        <f>COUNTIFS(   D4:D1440,"Psicología, Educación y Desarrollo",G4:G1440,"Sí")</f>
        <v>0</v>
      </c>
      <c r="AI168" s="5">
        <f>COUNTIFS(   D4:D1440,"Psicología, Educación y Desarrollo",G4:G1440,"No")</f>
        <v>4</v>
      </c>
      <c r="AJ168" s="5">
        <f>SUMIFS( E4:E1440, D4:D1440,"Psicología, Educación y Desarrollo",G4:G1440,"Sí")</f>
        <v>0</v>
      </c>
      <c r="AK168" s="5">
        <f>SUMIFS( E4:E1440, D4:D1440,"Psicología, Educación y Desarrollo",G4:G1440,"No")</f>
        <v>16</v>
      </c>
      <c r="AL168" s="5">
        <f>COUNTIFS(   D4:D1440,"Psicología, Educación y Desarrollo",H4:H1440,"Sí")</f>
        <v>4</v>
      </c>
      <c r="AM168" s="5">
        <f>COUNTIFS(   D4:D1440,"Psicología, Educación y Desarrollo",I4:I1440,"Sí")</f>
        <v>1</v>
      </c>
      <c r="AN168" s="5">
        <f>COUNTIFS(   D4:D1440,"Psicología, Educación y Desarrollo",I4:I1440,"No")</f>
        <v>3</v>
      </c>
      <c r="AO168" s="5">
        <f>SUMIFS( E4:E1440, D4:D1440,"Psicología, Educación y Desarrollo",I4:I1440,"Sí")</f>
        <v>7</v>
      </c>
      <c r="AP168" s="5">
        <f>SUMIFS( E4:E1440, D4:D1440,"Psicología, Educación y Desarrollo",I4:I1440,"No")</f>
        <v>9</v>
      </c>
      <c r="AQ168" s="5">
        <f>COUNTIFS(   D4:D1440,"Psicología, Educación y Desarrollo",J4:J1440,"Sí")</f>
        <v>4</v>
      </c>
      <c r="AR168" s="5">
        <f>COUNTIFS(   D4:D1440,"Psicología, Educación y Desarrollo",K4:K1440,"Sí")</f>
        <v>1</v>
      </c>
      <c r="AS168" s="5">
        <f>COUNTIFS(   D4:D1440,"Psicología, Educación y Desarrollo",L4:L1440,"Sí")</f>
        <v>0</v>
      </c>
      <c r="AT168" s="5">
        <f>SUMIFS( E4:E1440, D4:D1440,"Psicología, Educación y Desarrollo")</f>
        <v>16</v>
      </c>
      <c r="AU168" s="5">
        <f>SUMIFS( E4:E1440, F4:F1440,"Hombre", D4:D1440,"Psicología, Educación y Desarrollo")</f>
        <v>13</v>
      </c>
      <c r="AV168" s="5">
        <f>SUMIFS( E4:E1440, F4:F1440,"Mujer", D4:D1440,"Psicología, Educación y Desarrollo")</f>
        <v>3</v>
      </c>
      <c r="AW168" s="19">
        <f>SUMIFS( E4:E1440, A4:A1440,"2018", D4:D1440,"Psicología, Educación y Desarrollo")</f>
        <v>6</v>
      </c>
      <c r="AX168" s="5">
        <f>SUMIFS( E4:E1440, A4:A1440,"2019", D4:D1440,"Psicología, Educación y Desarrollo")</f>
        <v>2</v>
      </c>
      <c r="AY168" s="5">
        <f>SUMIFS( E4:E1440, A4:A1440,"2020", D4:D1440,"Psicología, Educación y Desarrollo")</f>
        <v>7</v>
      </c>
      <c r="AZ168" s="5">
        <f>SUMIFS( E4:E1440, A4:A1440,"2021", D4:D1440,"Psicología, Educación y Desarrollo")</f>
        <v>1</v>
      </c>
      <c r="BA168" s="5">
        <f>SUMIFS( E4:E1440, A4:A1440,"2022", D4:D1440,"Psicología, Educación y Desarrollo")</f>
        <v>0</v>
      </c>
      <c r="BB168" s="19">
        <f>SUMIFS( E4:E1440, N4:N1440,"2018", D4:D1440,"Psicología, Educación y Desarrollo")</f>
        <v>6</v>
      </c>
      <c r="BC168" s="5">
        <f>SUMIFS( E4:E1440, N4:N1440,"2019", D4:D1440,"Psicología, Educación y Desarrollo")</f>
        <v>0</v>
      </c>
      <c r="BD168" s="5">
        <f>SUMIFS( E4:E1440, N4:N1440,"2020", D4:D1440,"Psicología, Educación y Desarrollo")</f>
        <v>9</v>
      </c>
      <c r="BE168" s="5">
        <f>SUMIFS( E4:E1440, N4:N1440,"2021", D4:D1440,"Psicología, Educación y Desarrollo")</f>
        <v>1</v>
      </c>
      <c r="BF168" s="5">
        <f>SUMIFS( E4:E1440, N4:N1440,"2022", D4:D1440,"Psicología, Educación y Desarrollo")</f>
        <v>0</v>
      </c>
      <c r="BG168" s="14">
        <f>AVERAGEIFS( E4:E1440, D4:D1440,"Psicología, Educación y Desarrollo")</f>
        <v>4</v>
      </c>
      <c r="BH168" s="14">
        <v>0</v>
      </c>
      <c r="BI168" s="14">
        <v>0</v>
      </c>
      <c r="BJ168" s="14">
        <v>0</v>
      </c>
      <c r="BK168" s="14">
        <f>AVERAGEIFS( E4:E1440, A4:A1440,"2021", D4:D1440,"Psicología, Educación y Desarrollo")</f>
        <v>1</v>
      </c>
      <c r="BL168" s="37" t="e">
        <f>AVERAGEIFS( E4:E1440, A4:A1440,"2022", D4:D1440,"Psicología, Educación y Desarrollo")</f>
        <v>#DIV/0!</v>
      </c>
      <c r="BM168" s="14">
        <v>9.25</v>
      </c>
      <c r="BN168" s="14">
        <v>0</v>
      </c>
      <c r="BO168" s="14">
        <v>0</v>
      </c>
      <c r="BP168" s="14">
        <v>0</v>
      </c>
      <c r="BQ168" s="14">
        <v>10</v>
      </c>
      <c r="BR168" s="14">
        <v>9</v>
      </c>
    </row>
    <row r="169" spans="1:70" ht="15" customHeight="1">
      <c r="A169" s="24">
        <v>2018</v>
      </c>
      <c r="B169" s="24" t="s">
        <v>4</v>
      </c>
      <c r="C169" s="24" t="s">
        <v>5</v>
      </c>
      <c r="D169" s="24" t="s">
        <v>12</v>
      </c>
      <c r="E169" s="23">
        <v>14</v>
      </c>
      <c r="F169" s="24" t="s">
        <v>207</v>
      </c>
      <c r="G169" s="24" t="s">
        <v>225</v>
      </c>
      <c r="H169" s="23" t="s">
        <v>226</v>
      </c>
      <c r="I169" s="24" t="s">
        <v>225</v>
      </c>
      <c r="J169" s="23" t="s">
        <v>226</v>
      </c>
      <c r="K169" s="24" t="s">
        <v>226</v>
      </c>
      <c r="L169" s="23"/>
      <c r="M169" s="26" t="s">
        <v>312</v>
      </c>
      <c r="N169" s="24">
        <v>2019</v>
      </c>
      <c r="O169" s="40" t="s">
        <v>70</v>
      </c>
      <c r="P169" s="43"/>
      <c r="Q169" s="43"/>
      <c r="R169" s="43"/>
      <c r="S169" s="43"/>
      <c r="T169" s="44"/>
      <c r="U169" s="4">
        <f>COUNTIFS(   C4:C1440,"Ciencias Económicas y Empresariales")</f>
        <v>57</v>
      </c>
      <c r="V169" s="4">
        <f>COUNTIFS(   C4:C1440,"Ciencias Económicas y Empresariales",F4:F1440,"Hombre")</f>
        <v>31</v>
      </c>
      <c r="W169" s="4">
        <f>COUNTIFS(   C4:C1440,"Ciencias Económicas y Empresariales",F4:F1440,"Mujer")</f>
        <v>26</v>
      </c>
      <c r="X169" s="18">
        <f>COUNTIFS(   A4:A1440,"2018", C4:C1440,"Ciencias Económicas y Empresariales")</f>
        <v>11</v>
      </c>
      <c r="Y169" s="4">
        <f>COUNTIFS(   A4:A1440,"2019", C4:C1440,"Ciencias Económicas y Empresariales")</f>
        <v>20</v>
      </c>
      <c r="Z169" s="4">
        <f>COUNTIFS(   A4:A1440,"2020", C4:C1440,"Ciencias Económicas y Empresariales")</f>
        <v>16</v>
      </c>
      <c r="AA169" s="4">
        <f>COUNTIFS(   A4:A1440,"2021", C4:C1440,"Ciencias Económicas y Empresariales")</f>
        <v>10</v>
      </c>
      <c r="AB169" s="4">
        <f>COUNTIFS(   A4:A1440,"2022", C4:C1440,"Ciencias Económicas y Empresariales")</f>
        <v>0</v>
      </c>
      <c r="AC169" s="18">
        <f>COUNTIFS(   N4:N1440,"2018", C4:C1440,"Ciencias Económicas y Empresariales")</f>
        <v>4</v>
      </c>
      <c r="AD169" s="4">
        <f>COUNTIFS(   N4:N1440,"2019", C4:C1440,"Ciencias Económicas y Empresariales")</f>
        <v>11</v>
      </c>
      <c r="AE169" s="4">
        <f>COUNTIFS(   N4:N1440,"2020", C4:C1440,"Ciencias Económicas y Empresariales")</f>
        <v>22</v>
      </c>
      <c r="AF169" s="4">
        <f>COUNTIFS(   N4:N1440,"2021", C4:C1440,"Ciencias Económicas y Empresariales")</f>
        <v>18</v>
      </c>
      <c r="AG169" s="4">
        <f>COUNTIFS(   N4:N1440,"2022", C4:C1440,"Ciencias Económicas y Empresariales")</f>
        <v>2</v>
      </c>
      <c r="AH169" s="4">
        <f>COUNTIFS(   C4:C1440,"Ciencias Económicas y Empresariales",G4:G1440,"Sí")</f>
        <v>2</v>
      </c>
      <c r="AI169" s="4">
        <f>COUNTIFS(   C4:C1440,"Ciencias Económicas y Empresariales",G4:G1440,"No")</f>
        <v>55</v>
      </c>
      <c r="AJ169" s="4">
        <f>SUMIFS( E4:E1440, C4:C1440,"Ciencias Económicas y Empresariales",G4:G1440,"Sí")</f>
        <v>2</v>
      </c>
      <c r="AK169" s="4">
        <f>SUMIFS( E4:E1440, C4:C1440,"Ciencias Económicas y Empresariales",G4:G1440,"No")</f>
        <v>255</v>
      </c>
      <c r="AL169" s="4">
        <f>COUNTIFS(   C4:C1440,"Ciencias Económicas y Empresariales",H4:H1440,"Sí")</f>
        <v>52</v>
      </c>
      <c r="AM169" s="4">
        <f>COUNTIFS(   C4:C1440,"Ciencias Económicas y Empresariales",I4:I1440,"Sí")</f>
        <v>17</v>
      </c>
      <c r="AN169" s="4">
        <f>COUNTIFS(   C4:C1440,"Ciencias Económicas y Empresariales",I4:I1440,"No")</f>
        <v>40</v>
      </c>
      <c r="AO169" s="4">
        <f>SUMIFS( E4:E1440, C4:C1440,"Ciencias Económicas y Empresariales",I4:I1440,"Sí")</f>
        <v>78</v>
      </c>
      <c r="AP169" s="4">
        <f>SUMIFS( E4:E1440, C4:C1440,"Ciencias Económicas y Empresariales",I4:I1440,"No")</f>
        <v>179</v>
      </c>
      <c r="AQ169" s="4">
        <f>COUNTIFS(   C4:C1440,"Ciencias Económicas y Empresariales",J4:J1440,"Sí")</f>
        <v>57</v>
      </c>
      <c r="AR169" s="4">
        <f>COUNTIFS(   C4:C1440,"Ciencias Económicas y Empresariales",K4:K1440,"Sí")</f>
        <v>17</v>
      </c>
      <c r="AS169" s="4">
        <f>COUNTIFS(   C4:C1440,"Ciencias Económicas y Empresariales",L4:L1440,"Sí")</f>
        <v>0</v>
      </c>
      <c r="AT169" s="4">
        <f>SUMIFS( E4:E1440, C4:C1440,"Ciencias Económicas y Empresariales")</f>
        <v>257</v>
      </c>
      <c r="AU169" s="4">
        <f>SUMIFS( E4:E1440, F4:F1440,"Hombre", C4:C1440,"Ciencias Económicas y Empresariales")</f>
        <v>168</v>
      </c>
      <c r="AV169" s="4">
        <f>SUMIFS( E4:E1440, F4:F1440,"Mujer", C4:C1440,"Ciencias Económicas y Empresariales")</f>
        <v>89</v>
      </c>
      <c r="AW169" s="18">
        <f>SUMIFS( E4:E1440, A4:A1440,"2018", C4:C1440,"Ciencias Económicas y Empresariales")</f>
        <v>52</v>
      </c>
      <c r="AX169" s="4">
        <f>SUMIFS( E4:E1440, A4:A1440,"2019", C4:C1440,"Ciencias Económicas y Empresariales")</f>
        <v>89</v>
      </c>
      <c r="AY169" s="4">
        <f>SUMIFS( E4:E1440, A4:A1440,"2020", C4:C1440,"Ciencias Económicas y Empresariales")</f>
        <v>93</v>
      </c>
      <c r="AZ169" s="4">
        <f>SUMIFS( E4:E1440, A4:A1440,"2021", C4:C1440,"Ciencias Económicas y Empresariales")</f>
        <v>23</v>
      </c>
      <c r="BA169" s="4">
        <f>SUMIFS( E4:E1440, A4:A1440,"2022", C4:C1440,"Ciencias Económicas y Empresariales")</f>
        <v>0</v>
      </c>
      <c r="BB169" s="18">
        <f>SUMIFS( E4:E1440, N4:N1440,"2018", C4:C1440,"Ciencias Económicas y Empresariales")</f>
        <v>32</v>
      </c>
      <c r="BC169" s="4">
        <f>SUMIFS( E4:E1440, N4:N1440,"2019", C4:C1440,"Ciencias Económicas y Empresariales")</f>
        <v>27</v>
      </c>
      <c r="BD169" s="4">
        <f>SUMIFS( E4:E1440, N4:N1440,"2020", C4:C1440,"Ciencias Económicas y Empresariales")</f>
        <v>148</v>
      </c>
      <c r="BE169" s="4">
        <f>SUMIFS( E4:E1440, N4:N1440,"2021", C4:C1440,"Ciencias Económicas y Empresariales")</f>
        <v>46</v>
      </c>
      <c r="BF169" s="4">
        <f>SUMIFS( E4:E1440, N4:N1440,"2022", C4:C1440,"Ciencias Económicas y Empresariales")</f>
        <v>4</v>
      </c>
      <c r="BG169" s="13">
        <f>AVERAGEIFS( E4:E1440, C4:C1440,"Ciencias Económicas y Empresariales")</f>
        <v>4.9423076923076925</v>
      </c>
      <c r="BH169" s="13">
        <v>0</v>
      </c>
      <c r="BI169" s="13">
        <v>0</v>
      </c>
      <c r="BJ169" s="13">
        <f>AVERAGEIFS( E4:E1440, A4:A1440,"2020", C4:C1440,"Ciencias Económicas y Empresariales")</f>
        <v>6.2</v>
      </c>
      <c r="BK169" s="13">
        <f>AVERAGEIFS( E4:E1440, A4:A1440,"2021", C4:C1440,"Ciencias Económicas y Empresariales")</f>
        <v>2.2999999999999998</v>
      </c>
      <c r="BL169" s="37" t="e">
        <f>AVERAGEIFS( E4:E1440, A4:A1440,"2022", C4:C1440,"Ciencias Económicas y Empresariales")</f>
        <v>#DIV/0!</v>
      </c>
      <c r="BM169" s="13">
        <f>AVERAGE(AT170:AT177)</f>
        <v>31.75</v>
      </c>
      <c r="BN169" s="13">
        <v>0</v>
      </c>
      <c r="BO169" s="13">
        <v>0</v>
      </c>
      <c r="BP169" s="13">
        <f>AVERAGE(AY170:AY177)</f>
        <v>11.625</v>
      </c>
      <c r="BQ169" s="13">
        <f>AVERAGE(AZ170:AZ177)</f>
        <v>2.875</v>
      </c>
      <c r="BR169" s="13">
        <f>AVERAGE(BA170:BA177)</f>
        <v>0</v>
      </c>
    </row>
    <row r="170" spans="1:70" ht="15" customHeight="1">
      <c r="A170" s="24">
        <v>2018</v>
      </c>
      <c r="B170" s="24" t="s">
        <v>78</v>
      </c>
      <c r="C170" s="24" t="s">
        <v>681</v>
      </c>
      <c r="D170" s="24" t="s">
        <v>133</v>
      </c>
      <c r="E170" s="23"/>
      <c r="F170" s="24" t="s">
        <v>211</v>
      </c>
      <c r="G170" s="24" t="s">
        <v>225</v>
      </c>
      <c r="H170" s="23" t="s">
        <v>225</v>
      </c>
      <c r="I170" s="24" t="s">
        <v>225</v>
      </c>
      <c r="J170" s="23" t="s">
        <v>226</v>
      </c>
      <c r="K170" s="24" t="s">
        <v>226</v>
      </c>
      <c r="L170" s="23"/>
      <c r="M170" s="26" t="s">
        <v>313</v>
      </c>
      <c r="N170" s="24">
        <v>2019</v>
      </c>
      <c r="O170" s="67" t="s">
        <v>150</v>
      </c>
      <c r="P170" s="68"/>
      <c r="Q170" s="68"/>
      <c r="R170" s="68"/>
      <c r="S170" s="68"/>
      <c r="T170" s="69"/>
      <c r="U170" s="5">
        <f>COUNTIFS(   D4:D1440,"Análisis económico")</f>
        <v>4</v>
      </c>
      <c r="V170" s="5">
        <f>COUNTIFS(   D4:D1440,"Análisis económico",F4:F1440,"Hombre")</f>
        <v>1</v>
      </c>
      <c r="W170" s="5">
        <f>COUNTIFS(   D4:D1440,"Análisis económico",F4:F1440,"Mujer")</f>
        <v>3</v>
      </c>
      <c r="X170" s="19">
        <f>COUNTIFS(   A4:A1440,"2018", D4:D1440,"Análisis económico")</f>
        <v>1</v>
      </c>
      <c r="Y170" s="5">
        <f>COUNTIFS(   A4:A1440,"2019", D4:D1440,"Análisis económico")</f>
        <v>1</v>
      </c>
      <c r="Z170" s="5">
        <f>COUNTIFS(   A4:A1440,"2020", D4:D1440,"Análisis económico")</f>
        <v>2</v>
      </c>
      <c r="AA170" s="5">
        <f>COUNTIFS(   A4:A1440,"2021", D4:D1440,"Análisis económico")</f>
        <v>0</v>
      </c>
      <c r="AB170" s="5">
        <f>COUNTIFS(  A4:A1440,"2022", D4:D1440,"Análisis económico")</f>
        <v>0</v>
      </c>
      <c r="AC170" s="19">
        <f>COUNTIFS(   N4:N1440,"2018", D4:D1440,"Análisis económico")</f>
        <v>0</v>
      </c>
      <c r="AD170" s="5">
        <f>COUNTIFS(   N4:N1440,"2019", D4:D1440,"Análisis económico")</f>
        <v>2</v>
      </c>
      <c r="AE170" s="5">
        <f>COUNTIFS(   N4:N1440,"2020", D4:D1440,"Análisis económico")</f>
        <v>0</v>
      </c>
      <c r="AF170" s="5">
        <f>COUNTIFS(   N4:N1440,"2021", D4:D1440,"Análisis económico")</f>
        <v>2</v>
      </c>
      <c r="AG170" s="5">
        <f>COUNTIFS(   N4:N1440,"2022", D4:D1440,"Análisis económico")</f>
        <v>0</v>
      </c>
      <c r="AH170" s="5">
        <f>COUNTIFS(   D4:D1440,"Análisis económico",G4:G1440,"Sí")</f>
        <v>0</v>
      </c>
      <c r="AI170" s="5">
        <f>COUNTIFS(   D4:D1440,"Análisis económico",G4:G1440,"No")</f>
        <v>4</v>
      </c>
      <c r="AJ170" s="5">
        <f>SUMIFS( E4:E1440, D4:D1440,"Análisis económico",G4:G1440,"Sí")</f>
        <v>0</v>
      </c>
      <c r="AK170" s="5">
        <f>SUMIFS( E4:E1440, D4:D1440,"Análisis económico",G4:G1440,"No")</f>
        <v>10</v>
      </c>
      <c r="AL170" s="5">
        <f>COUNTIFS(   D4:D1440,"Análisis económico",H4:H1440,"Sí")</f>
        <v>2</v>
      </c>
      <c r="AM170" s="5">
        <f>COUNTIFS(   D4:D1440,"Análisis económico",I4:I1440,"Sí")</f>
        <v>2</v>
      </c>
      <c r="AN170" s="5">
        <f>COUNTIFS(   D4:D1440,"Análisis económico",I4:I1440,"No")</f>
        <v>2</v>
      </c>
      <c r="AO170" s="5">
        <f>SUMIFS( E4:E1440, D4:D1440,"Análisis económico",I4:I1440,"Sí")</f>
        <v>9</v>
      </c>
      <c r="AP170" s="5">
        <f>SUMIFS( E4:E1440, D4:D1440,"Análisis económico",I4:I1440,"No")</f>
        <v>1</v>
      </c>
      <c r="AQ170" s="5">
        <f>COUNTIFS(   D4:D1440,"Análisis económico",J4:J1440,"Sí")</f>
        <v>4</v>
      </c>
      <c r="AR170" s="5">
        <f>COUNTIFS(   D4:D1440,"Análisis económico",K4:K1440,"Sí")</f>
        <v>2</v>
      </c>
      <c r="AS170" s="5">
        <f>COUNTIFS(   D4:D1440,"Análisis económico",L4:L1440,"Sí")</f>
        <v>0</v>
      </c>
      <c r="AT170" s="5">
        <f>SUMIFS( E4:E1440, D4:D1440,"Análisis económico")</f>
        <v>10</v>
      </c>
      <c r="AU170" s="5">
        <f>SUMIFS( E4:E1440, F4:F1440,"Hombre", D4:D1440,"Análisis económico")</f>
        <v>9</v>
      </c>
      <c r="AV170" s="5">
        <f>SUMIFS( E4:E1440, F4:F1440,"Mujer", D4:D1440,"Análisis económico")</f>
        <v>1</v>
      </c>
      <c r="AW170" s="19">
        <f>SUMIFS( E4:E1440, A4:A1440,"2018", D4:D1440,"Análisis económico")</f>
        <v>9</v>
      </c>
      <c r="AX170" s="5">
        <f>SUMIFS( E4:E1440, A4:A1440,"2019", D4:D1440,"Análisis económico")</f>
        <v>0</v>
      </c>
      <c r="AY170" s="5">
        <f>SUMIFS( E4:E1440, A4:A1440,"2020", D4:D1440,"Análisis económico")</f>
        <v>1</v>
      </c>
      <c r="AZ170" s="5">
        <f>SUMIFS( E4:E1440, A4:A1440,"2021", D4:D1440,"Análisis económico")</f>
        <v>0</v>
      </c>
      <c r="BA170" s="5">
        <f>SUMIFS( E4:E1440, A4:A1440,"2022", D4:D1440,"Análisis económico")</f>
        <v>0</v>
      </c>
      <c r="BB170" s="19">
        <f>SUMIFS( E4:E1440, N4:N1440,"2018", D4:D1440,"Análisis económico")</f>
        <v>0</v>
      </c>
      <c r="BC170" s="5">
        <f>SUMIFS( E4:E1440, N4:N1440,"2019", D4:D1440,"Análisis económico")</f>
        <v>9</v>
      </c>
      <c r="BD170" s="5">
        <f>SUMIFS( E4:E1440, N4:N1440,"2020", D4:D1440,"Análisis económico")</f>
        <v>0</v>
      </c>
      <c r="BE170" s="5">
        <f>SUMIFS( E4:E1440, N4:N1440,"2021", D4:D1440,"Análisis económico")</f>
        <v>1</v>
      </c>
      <c r="BF170" s="5">
        <f>SUMIFS( E4:E1440, N4:N1440,"2022", D4:D1440,"Análisis económico")</f>
        <v>0</v>
      </c>
      <c r="BG170" s="14">
        <f>AVERAGEIFS( E4:E1440, D4:D1440,"Análisis económico")</f>
        <v>5</v>
      </c>
      <c r="BH170" s="14">
        <v>0</v>
      </c>
      <c r="BI170" s="14">
        <v>0</v>
      </c>
      <c r="BJ170" s="14">
        <v>0</v>
      </c>
      <c r="BK170" s="14" t="e">
        <f>AVERAGEIFS( E4:E1440, A4:A1440,"2021", D4:D1440,"Análisis económico")</f>
        <v>#DIV/0!</v>
      </c>
      <c r="BL170" s="37">
        <v>0</v>
      </c>
      <c r="BM170" s="14">
        <v>3.5</v>
      </c>
      <c r="BN170" s="14">
        <v>0</v>
      </c>
      <c r="BO170" s="14">
        <v>0</v>
      </c>
      <c r="BP170" s="14">
        <v>0</v>
      </c>
      <c r="BQ170" s="14">
        <v>3.5</v>
      </c>
      <c r="BR170" s="14">
        <v>0</v>
      </c>
    </row>
    <row r="171" spans="1:70" ht="15" customHeight="1">
      <c r="A171" s="24">
        <v>2018</v>
      </c>
      <c r="B171" s="24" t="s">
        <v>136</v>
      </c>
      <c r="C171" s="24" t="s">
        <v>152</v>
      </c>
      <c r="D171" s="24" t="s">
        <v>159</v>
      </c>
      <c r="E171" s="23">
        <v>1</v>
      </c>
      <c r="F171" s="24" t="s">
        <v>207</v>
      </c>
      <c r="G171" s="24" t="s">
        <v>225</v>
      </c>
      <c r="H171" s="23" t="s">
        <v>226</v>
      </c>
      <c r="I171" s="24" t="s">
        <v>225</v>
      </c>
      <c r="J171" s="23" t="s">
        <v>226</v>
      </c>
      <c r="K171" s="24" t="s">
        <v>225</v>
      </c>
      <c r="L171" s="23"/>
      <c r="M171" s="26" t="s">
        <v>313</v>
      </c>
      <c r="N171" s="24">
        <v>2019</v>
      </c>
      <c r="O171" s="67" t="s">
        <v>151</v>
      </c>
      <c r="P171" s="68"/>
      <c r="Q171" s="68"/>
      <c r="R171" s="68"/>
      <c r="S171" s="68"/>
      <c r="T171" s="69"/>
      <c r="U171" s="5">
        <f>COUNTIFS(   D4:D1440,"Dirección estratégica, creación de empresas, flexibilidad y calidad")</f>
        <v>9</v>
      </c>
      <c r="V171" s="5">
        <f>COUNTIFS(   D4:D1440,"Dirección estratégica, creación de empresas, flexibilidad y calidad",F4:F1440,"Hombre")</f>
        <v>5</v>
      </c>
      <c r="W171" s="5">
        <f>COUNTIFS(   D4:D1440,"Dirección estratégica, creación de empresas, flexibilidad y calidad",F4:F1440,"Mujer")</f>
        <v>4</v>
      </c>
      <c r="X171" s="19">
        <f>COUNTIFS(   A4:A1440,"2018", D4:D1440,"Dirección estratégica, creación de empresas, flexibilidad y calidad")</f>
        <v>2</v>
      </c>
      <c r="Y171" s="5">
        <f>COUNTIFS(   A4:A1440,"2019", D4:D1440,"Dirección estratégica, creación de empresas, flexibilidad y calidad")</f>
        <v>3</v>
      </c>
      <c r="Z171" s="5">
        <f>COUNTIFS(   A4:A1440,"2020", D4:D1440,"Dirección estratégica, creación de empresas, flexibilidad y calidad")</f>
        <v>2</v>
      </c>
      <c r="AA171" s="5">
        <f>COUNTIFS(   A4:A1440,"2021", D4:D1440,"Dirección estratégica, creación de empresas, flexibilidad y calidad")</f>
        <v>2</v>
      </c>
      <c r="AB171" s="5">
        <f>COUNTIFS(  A4:A1440,"2022", D4:D1440,"Dirección estratégica, creación de empresas, flexibilidad y calidad")</f>
        <v>0</v>
      </c>
      <c r="AC171" s="19">
        <f>COUNTIFS(   N4:N1440,"2018", D4:D1440,"Dirección estratégica, creación de empresas, flexibilidad y calidad")</f>
        <v>1</v>
      </c>
      <c r="AD171" s="5">
        <f>COUNTIFS(   N4:N1440,"2019", D4:D1440,"Dirección estratégica, creación de empresas, flexibilidad y calidad")</f>
        <v>2</v>
      </c>
      <c r="AE171" s="5">
        <f>COUNTIFS(   N4:N1440,"2020", D4:D1440,"Dirección estratégica, creación de empresas, flexibilidad y calidad")</f>
        <v>3</v>
      </c>
      <c r="AF171" s="5">
        <f>COUNTIFS(   N4:N1440,"2021", D4:D1440,"Dirección estratégica, creación de empresas, flexibilidad y calidad")</f>
        <v>3</v>
      </c>
      <c r="AG171" s="5">
        <f>COUNTIFS(   N4:N1440,"2022", D4:D1440,"Dirección estratégica, creación de empresas, flexibilidad y calidad")</f>
        <v>0</v>
      </c>
      <c r="AH171" s="5">
        <f>COUNTIFS(   D4:D1440,"Dirección estratégica, creación de empresas, flexibilidad y calidad",G4:G1440,"Sí")</f>
        <v>0</v>
      </c>
      <c r="AI171" s="5">
        <f>COUNTIFS(   D4:D1440,"Dirección estratégica, creación de empresas, flexibilidad y calidad",G4:G1440,"No")</f>
        <v>9</v>
      </c>
      <c r="AJ171" s="5">
        <f>SUMIFS( E4:E1440, D4:D1440,"Dirección estratégica, creación de empresas, flexibilidad y calidad",G4:G1440,"Sí")</f>
        <v>0</v>
      </c>
      <c r="AK171" s="5">
        <f>SUMIFS( E4:E1440, D4:D1440,"Dirección estratégica, creación de empresas, flexibilidad y calidad",G4:G1440,"No")</f>
        <v>53</v>
      </c>
      <c r="AL171" s="5">
        <f>COUNTIFS(   D4:D1440,"Dirección estratégica, creación de empresas, flexibilidad y calidad",H4:H1440,"Sí")</f>
        <v>8</v>
      </c>
      <c r="AM171" s="5">
        <f>COUNTIFS(   D4:D1440,"Dirección estratégica, creación de empresas, flexibilidad y calidad",I4:I1440,"Sí")</f>
        <v>4</v>
      </c>
      <c r="AN171" s="5">
        <f>COUNTIFS(   D4:D1440,"Dirección estratégica, creación de empresas, flexibilidad y calidad",I4:I1440,"No")</f>
        <v>5</v>
      </c>
      <c r="AO171" s="5">
        <f>SUMIFS( E4:E1440, D4:D1440,"Dirección estratégica, creación de empresas, flexibilidad y calidad",I4:I1440,"Sí")</f>
        <v>5</v>
      </c>
      <c r="AP171" s="5">
        <f>SUMIFS( E4:E1440, D4:D1440,"Dirección estratégica, creación de empresas, flexibilidad y calidad",I4:I1440,"No")</f>
        <v>48</v>
      </c>
      <c r="AQ171" s="5">
        <f>COUNTIFS(   D4:D1440,"Dirección estratégica, creación de empresas, flexibilidad y calidad",J4:J1440,"Sí")</f>
        <v>9</v>
      </c>
      <c r="AR171" s="5">
        <f>COUNTIFS(   D4:D1440,"Dirección estratégica, creación de empresas, flexibilidad y calidad",K4:K1440,"Sí")</f>
        <v>4</v>
      </c>
      <c r="AS171" s="5">
        <f>COUNTIFS(   D4:D1440,"Dirección estratégica, creación de empresas, flexibilidad y calidad",L4:L1440,"Sí")</f>
        <v>0</v>
      </c>
      <c r="AT171" s="5">
        <f>SUMIFS( E4:E1440, D4:D1440,"Dirección estratégica, creación de empresas, flexibilidad y calidad")</f>
        <v>53</v>
      </c>
      <c r="AU171" s="5">
        <f>SUMIFS( E4:E1440, F4:F1440,"Hombre", D4:D1440,"Dirección estratégica, creación de empresas, flexibilidad y calidad")</f>
        <v>44</v>
      </c>
      <c r="AV171" s="5">
        <f>SUMIFS( E4:E1440, F4:F1440,"Mujer", D4:D1440,"Dirección estratégica, creación de empresas, flexibilidad y calidad")</f>
        <v>9</v>
      </c>
      <c r="AW171" s="19">
        <f>SUMIFS( E4:E1440, A4:A1440,"2018", D4:D1440,"Dirección estratégica, creación de empresas, flexibilidad y calidad")</f>
        <v>1</v>
      </c>
      <c r="AX171" s="5">
        <f>SUMIFS( E4:E1440, A4:A1440,"2019", D4:D1440,"Dirección estratégica, creación de empresas, flexibilidad y calidad")</f>
        <v>8</v>
      </c>
      <c r="AY171" s="5">
        <f>SUMIFS( E4:E1440, A4:A1440,"2020", D4:D1440,"Dirección estratégica, creación de empresas, flexibilidad y calidad")</f>
        <v>42</v>
      </c>
      <c r="AZ171" s="5">
        <f>SUMIFS( E4:E1440, A4:A1440,"2021", D4:D1440,"Dirección estratégica, creación de empresas, flexibilidad y calidad")</f>
        <v>2</v>
      </c>
      <c r="BA171" s="5">
        <f>SUMIFS( E4:E1440, A4:A1440,"2022", D4:D1440,"Dirección estratégica, creación de empresas, flexibilidad y calidad")</f>
        <v>0</v>
      </c>
      <c r="BB171" s="19">
        <f>SUMIFS( E4:E1440, N4:N1440,"2018", D4:D1440,"Dirección estratégica, creación de empresas, flexibilidad y calidad")</f>
        <v>1</v>
      </c>
      <c r="BC171" s="5">
        <f>SUMIFS( E4:E1440, N4:N1440,"2019", D4:D1440,"Dirección estratégica, creación de empresas, flexibilidad y calidad")</f>
        <v>4</v>
      </c>
      <c r="BD171" s="5">
        <f>SUMIFS( E4:E1440, N4:N1440,"2020", D4:D1440,"Dirección estratégica, creación de empresas, flexibilidad y calidad")</f>
        <v>41</v>
      </c>
      <c r="BE171" s="5">
        <f>SUMIFS( E4:E1440, N4:N1440,"2021", D4:D1440,"Dirección estratégica, creación de empresas, flexibilidad y calidad")</f>
        <v>7</v>
      </c>
      <c r="BF171" s="5">
        <f>SUMIFS( E4:E1440, N4:N1440,"2022", D4:D1440,"Dirección estratégica, creación de empresas, flexibilidad y calidad")</f>
        <v>0</v>
      </c>
      <c r="BG171" s="14">
        <f>AVERAGEIFS( E4:E1440, D4:D1440,"Dirección estratégica, creación de empresas, flexibilidad y calidad")</f>
        <v>6.625</v>
      </c>
      <c r="BH171" s="14">
        <v>0</v>
      </c>
      <c r="BI171" s="14">
        <v>0</v>
      </c>
      <c r="BJ171" s="14">
        <f>AVERAGEIFS( E4:E1440, A4:A1440,"2020", D4:D1440,"Dirección estratégica, creación de empresas, flexibilidad y calidad")</f>
        <v>21</v>
      </c>
      <c r="BK171" s="14">
        <v>0</v>
      </c>
      <c r="BL171" s="37">
        <v>0</v>
      </c>
      <c r="BM171" s="14">
        <v>2</v>
      </c>
      <c r="BN171" s="14">
        <v>0</v>
      </c>
      <c r="BO171" s="14">
        <v>0</v>
      </c>
      <c r="BP171" s="14">
        <v>2</v>
      </c>
      <c r="BQ171" s="14">
        <v>0</v>
      </c>
      <c r="BR171" s="14">
        <v>0</v>
      </c>
    </row>
    <row r="172" spans="1:70" ht="15" customHeight="1">
      <c r="A172" s="24">
        <v>2018</v>
      </c>
      <c r="B172" s="24" t="s">
        <v>136</v>
      </c>
      <c r="C172" s="24" t="s">
        <v>176</v>
      </c>
      <c r="D172" s="24"/>
      <c r="E172" s="23">
        <v>5</v>
      </c>
      <c r="F172" s="24" t="s">
        <v>207</v>
      </c>
      <c r="G172" s="24" t="s">
        <v>225</v>
      </c>
      <c r="H172" s="23" t="s">
        <v>226</v>
      </c>
      <c r="I172" s="24" t="s">
        <v>226</v>
      </c>
      <c r="J172" s="23" t="s">
        <v>226</v>
      </c>
      <c r="K172" s="24" t="s">
        <v>226</v>
      </c>
      <c r="L172" s="23"/>
      <c r="M172" s="26" t="s">
        <v>313</v>
      </c>
      <c r="N172" s="24">
        <v>2019</v>
      </c>
      <c r="O172" s="51" t="s">
        <v>256</v>
      </c>
      <c r="P172" s="52"/>
      <c r="Q172" s="52"/>
      <c r="R172" s="52"/>
      <c r="S172" s="52"/>
      <c r="T172" s="53"/>
      <c r="U172" s="5">
        <f>COUNTIFS(   D2:D1438,"Marketing y consumo")</f>
        <v>14</v>
      </c>
      <c r="V172" s="5">
        <f>COUNTIFS(   D2:D1438,"Marketing y consumo",F2:F1438,"Hombre")</f>
        <v>10</v>
      </c>
      <c r="W172" s="5">
        <f>COUNTIFS(   D2:D1438,"Marketing y consumo",F2:F1438,"Mujer")</f>
        <v>4</v>
      </c>
      <c r="X172" s="19">
        <f>COUNTIFS(   A2:A1438,"2018", D2:D1438,"Marketing y consumo")</f>
        <v>1</v>
      </c>
      <c r="Y172" s="5">
        <f>COUNTIFS(   A2:A1438,"2019", D2:D1438,"Marketing y consumo")</f>
        <v>8</v>
      </c>
      <c r="Z172" s="5">
        <f>COUNTIFS(   A2:A1438,"2020", D2:D1438,"Marketing y consumo")</f>
        <v>5</v>
      </c>
      <c r="AA172" s="5">
        <f>COUNTIFS(   A2:A1438,"2021", D2:D1438,"Marketing y consumo")</f>
        <v>0</v>
      </c>
      <c r="AB172" s="5">
        <f>COUNTIFS(  A2:A1438,"2022", D2:D1438,"Marketing y consumo")</f>
        <v>0</v>
      </c>
      <c r="AC172" s="19">
        <f>COUNTIFS(   N2:N1438,"2018", D2:D1438,"Marketing y consumo")</f>
        <v>1</v>
      </c>
      <c r="AD172" s="5">
        <f>COUNTIFS(   N2:N1438,"2019", D2:D1438,"Marketing y consumo")</f>
        <v>1</v>
      </c>
      <c r="AE172" s="5">
        <f>COUNTIFS(   N2:N1438,"2020", D2:D1438,"Marketing y consumo")</f>
        <v>9</v>
      </c>
      <c r="AF172" s="5">
        <f>COUNTIFS(   N2:N1438,"2021", D2:D1438,"Marketing y consumo")</f>
        <v>3</v>
      </c>
      <c r="AG172" s="5">
        <f>COUNTIFS(   N2:N1438,"2022", D2:D1438,"Marketing y consumo")</f>
        <v>0</v>
      </c>
      <c r="AH172" s="5">
        <f>COUNTIFS(   D2:D1438,"Marketing y consumo",G2:G1438,"Sí")</f>
        <v>1</v>
      </c>
      <c r="AI172" s="5">
        <f>COUNTIFS(   D2:D1438,"Marketing y consumo",G2:G1438,"No")</f>
        <v>13</v>
      </c>
      <c r="AJ172" s="5">
        <f>SUMIFS( E2:E1438, D2:D1438,"Marketing y consumo",G2:G1438,"Sí")</f>
        <v>1</v>
      </c>
      <c r="AK172" s="5">
        <f>SUMIFS( E2:E1438, D2:D1438,"Marketing y consumo",G2:G1438,"No")</f>
        <v>97</v>
      </c>
      <c r="AL172" s="5">
        <f>COUNTIFS(   D2:D1438,"Marketing y consumo",H2:H1438,"Sí")</f>
        <v>13</v>
      </c>
      <c r="AM172" s="5">
        <f>COUNTIFS(   D2:D1438,"Marketing y consumo",I2:I1438,"Sí")</f>
        <v>3</v>
      </c>
      <c r="AN172" s="5">
        <f>COUNTIFS(   D2:D1438,"Marketing y consumo",I2:I1438,"No")</f>
        <v>11</v>
      </c>
      <c r="AO172" s="5">
        <f>SUMIFS( E2:E1438, D2:D1438,"Marketing y consumo",I2:I1438,"Sí")</f>
        <v>37</v>
      </c>
      <c r="AP172" s="5">
        <f>SUMIFS( E2:E1438, D2:D1438,"Marketing y consumo",I2:I1438,"No")</f>
        <v>61</v>
      </c>
      <c r="AQ172" s="5">
        <f>COUNTIFS(   D2:D1438,"Marketing y consumo",J2:J1438,"Sí")</f>
        <v>14</v>
      </c>
      <c r="AR172" s="5">
        <f>COUNTIFS(   D2:D1438,"Marketing y consumo",K2:K1438,"Sí")</f>
        <v>3</v>
      </c>
      <c r="AS172" s="5">
        <f>COUNTIFS(   D2:D1438,"Marketing y consumo",L2:L1438,"Sí")</f>
        <v>0</v>
      </c>
      <c r="AT172" s="5">
        <f>SUMIFS( E2:E1438, D2:D1438,"Marketing y consumo")</f>
        <v>98</v>
      </c>
      <c r="AU172" s="5">
        <f>SUMIFS( E2:E1438, F2:F1438,"Hombre", D2:D1438,"Marketing y consumo")</f>
        <v>73</v>
      </c>
      <c r="AV172" s="5">
        <f>SUMIFS( E2:E1438, F2:F1438,"Mujer", D2:D1438,"Marketing y consumo")</f>
        <v>25</v>
      </c>
      <c r="AW172" s="19">
        <f>SUMIFS( E2:E1438, A2:A1438,"2018", D2:D1438,"Marketing y consumo")</f>
        <v>25</v>
      </c>
      <c r="AX172" s="5">
        <f>SUMIFS( E2:E1438, A2:A1438,"2019", D2:D1438,"Marketing y consumo")</f>
        <v>40</v>
      </c>
      <c r="AY172" s="5">
        <f>SUMIFS( E2:E1438, A2:A1438,"2020", D2:D1438,"Marketing y consumo")</f>
        <v>33</v>
      </c>
      <c r="AZ172" s="5">
        <f>SUMIFS( E2:E1438, A2:A1438,"2021", D2:D1438,"Marketing y consumo")</f>
        <v>0</v>
      </c>
      <c r="BA172" s="5">
        <f>SUMIFS( E2:E1438, A2:A1438,"2022", D2:D1438,"Marketing y consumo")</f>
        <v>0</v>
      </c>
      <c r="BB172" s="19">
        <f>SUMIFS( E2:E1438, N2:N1438,"2018", D2:D1438,"Marketing y consumo")</f>
        <v>25</v>
      </c>
      <c r="BC172" s="5">
        <f>SUMIFS( E2:E1438, N2:N1438,"2019", D2:D1438,"Marketing y consumo")</f>
        <v>1</v>
      </c>
      <c r="BD172" s="5">
        <f>SUMIFS( E2:E1438, N2:N1438,"2020", D2:D1438,"Marketing y consumo")</f>
        <v>61</v>
      </c>
      <c r="BE172" s="5">
        <f>SUMIFS( E2:E1438, N2:N1438,"2021", D2:D1438,"Marketing y consumo")</f>
        <v>11</v>
      </c>
      <c r="BF172" s="5">
        <f>SUMIFS( E2:E1438, N2:N1438,"2022", D2:D1438,"Marketing y consumo")</f>
        <v>0</v>
      </c>
      <c r="BG172" s="14">
        <f>AVERAGEIFS( E2:E1438, D2:D1438,"Marketing y consumo")</f>
        <v>7.5384615384615383</v>
      </c>
      <c r="BH172" s="14"/>
      <c r="BI172" s="14"/>
      <c r="BJ172" s="14"/>
      <c r="BK172" s="14"/>
      <c r="BL172" s="37"/>
      <c r="BM172" s="14"/>
      <c r="BN172" s="14"/>
      <c r="BO172" s="14"/>
      <c r="BP172" s="14"/>
      <c r="BQ172" s="14"/>
      <c r="BR172" s="14"/>
    </row>
    <row r="173" spans="1:70" ht="15" customHeight="1">
      <c r="A173" s="24">
        <v>2018</v>
      </c>
      <c r="B173" s="24" t="s">
        <v>136</v>
      </c>
      <c r="C173" s="24" t="s">
        <v>168</v>
      </c>
      <c r="D173" s="24" t="s">
        <v>314</v>
      </c>
      <c r="E173" s="23">
        <v>2</v>
      </c>
      <c r="F173" s="24" t="s">
        <v>207</v>
      </c>
      <c r="G173" s="24" t="s">
        <v>225</v>
      </c>
      <c r="H173" s="23" t="s">
        <v>226</v>
      </c>
      <c r="I173" s="24" t="s">
        <v>225</v>
      </c>
      <c r="J173" s="23" t="s">
        <v>226</v>
      </c>
      <c r="K173" s="24" t="s">
        <v>226</v>
      </c>
      <c r="L173" s="23"/>
      <c r="M173" s="26" t="s">
        <v>315</v>
      </c>
      <c r="N173" s="24">
        <v>2019</v>
      </c>
      <c r="O173" s="51" t="s">
        <v>435</v>
      </c>
      <c r="P173" s="52"/>
      <c r="Q173" s="52"/>
      <c r="R173" s="52"/>
      <c r="S173" s="52"/>
      <c r="T173" s="53"/>
      <c r="U173" s="5">
        <f>COUNTIFS(   D3:D1439,"Innovación y estrategia en Empresas y Organizaciones: Medio Ambiente, Internacionalización y Recursos Humanos")</f>
        <v>3</v>
      </c>
      <c r="V173" s="5">
        <f>COUNTIFS(   D3:D1439,"Innovación y estrategia en Empresas y Organizaciones: Medio Ambiente, Internacionalización y Recursos Humanos",F3:F1439,"Hombre")</f>
        <v>3</v>
      </c>
      <c r="W173" s="5">
        <f>COUNTIFS(   D3:D1439,"Innovación y estrategia en Empresas y Organizaciones: Medio Ambiente, Internacionalización y Recursos Humanos",F3:F1439,"Mujer")</f>
        <v>0</v>
      </c>
      <c r="X173" s="19">
        <f>COUNTIFS(   A3:A1439,"2018", D3:D1439,"Innovación y estrategia en Empresas y Organizaciones: Medio Ambiente, Internacionalización y Recursos Humanos")</f>
        <v>0</v>
      </c>
      <c r="Y173" s="5">
        <f>COUNTIFS(   A3:A1439,"2019", D3:D1439,"Innovación y estrategia en Empresas y Organizaciones: Medio Ambiente, Internacionalización y Recursos Humanos")</f>
        <v>1</v>
      </c>
      <c r="Z173" s="5">
        <f>COUNTIFS(   A3:A1439,"2020", D3:D1439,"Innovación y estrategia en Empresas y Organizaciones: Medio Ambiente, Internacionalización y Recursos Humanos")</f>
        <v>1</v>
      </c>
      <c r="AA173" s="5">
        <f>COUNTIFS(   A3:A1439,"2021", D3:D1439,"Innovación y estrategia en Empresas y Organizaciones: Medio Ambiente, Internacionalización y Recursos Humanos")</f>
        <v>1</v>
      </c>
      <c r="AB173" s="5">
        <f>COUNTIFS(  A3:A1439,"2022", D3:D1439,"Innovación y estrategia en Empresas y Organizaciones: Medio Ambiente, Internacionalización y Recursos Humanos")</f>
        <v>0</v>
      </c>
      <c r="AC173" s="19">
        <f>COUNTIFS(   N3:N1439,"2018", D3:D1439,"Innovación y estrategia en Empresas y Organizaciones: Medio Ambiente, Internacionalización y Recursos Humanos")</f>
        <v>0</v>
      </c>
      <c r="AD173" s="5">
        <f>COUNTIFS(   N3:N1439,"2019", D3:D1439,"Innovación y estrategia en Empresas y Organizaciones: Medio Ambiente, Internacionalización y Recursos Humanos")</f>
        <v>0</v>
      </c>
      <c r="AE173" s="5">
        <f>COUNTIFS(   N3:N1439,"2020", D3:D1439,"Innovación y estrategia en Empresas y Organizaciones: Medio Ambiente, Internacionalización y Recursos Humanos")</f>
        <v>1</v>
      </c>
      <c r="AF173" s="5">
        <f>COUNTIFS(   N3:N1439,"2021", D3:D1439,"Innovación y estrategia en Empresas y Organizaciones: Medio Ambiente, Internacionalización y Recursos Humanos")</f>
        <v>2</v>
      </c>
      <c r="AG173" s="5">
        <f>COUNTIFS(   N3:N1439,"2022", D3:D1439,"Innovación y estrategia en Empresas y Organizaciones: Medio Ambiente, Internacionalización y Recursos Humanos")</f>
        <v>0</v>
      </c>
      <c r="AH173" s="5">
        <f>COUNTIFS(   D3:D1439,"Innovación y estrategia en Empresas y Organizaciones: Medio Ambiente, Internacionalización y Recursos Humanos",G3:G1439,"Sí")</f>
        <v>0</v>
      </c>
      <c r="AI173" s="5">
        <f>COUNTIFS(   D3:D1439,"Innovación y estrategia en Empresas y Organizaciones: Medio Ambiente, Internacionalización y Recursos Humanos",G3:G1439,"No")</f>
        <v>3</v>
      </c>
      <c r="AJ173" s="5">
        <f>SUMIFS( E3:E1439, D3:D1439,"Innovación y estrategia en Empresas y Organizaciones: Medio Ambiente, Internacionalización y Recursos Humanos",G3:G1439,"Sí")</f>
        <v>0</v>
      </c>
      <c r="AK173" s="5">
        <f>SUMIFS( E3:E1439, D3:D1439,"Innovación y estrategia en Empresas y Organizaciones: Medio Ambiente, Internacionalización y Recursos Humanos",G3:G1439,"No")</f>
        <v>13</v>
      </c>
      <c r="AL173" s="5">
        <f>COUNTIFS(   D3:D1439,"Innovación y estrategia en Empresas y Organizaciones: Medio Ambiente, Internacionalización y Recursos Humanos",H3:H1439,"Sí")</f>
        <v>3</v>
      </c>
      <c r="AM173" s="5">
        <f>COUNTIFS(   D3:D1439,"Innovación y estrategia en Empresas y Organizaciones: Medio Ambiente, Internacionalización y Recursos Humanos",I3:I1439,"Sí")</f>
        <v>2</v>
      </c>
      <c r="AN173" s="5">
        <f>COUNTIFS(   D3:D1439,"Innovación y estrategia en Empresas y Organizaciones: Medio Ambiente, Internacionalización y Recursos Humanos",I3:I1439,"No")</f>
        <v>1</v>
      </c>
      <c r="AO173" s="5">
        <f>SUMIFS( E3:E1439, D3:D1439,"Innovación y estrategia en Empresas y Organizaciones: Medio Ambiente, Internacionalización y Recursos Humanos",I3:I1439,"Sí")</f>
        <v>3</v>
      </c>
      <c r="AP173" s="5">
        <f>SUMIFS( E3:E1439, D3:D1439,"Innovación y estrategia en Empresas y Organizaciones: Medio Ambiente, Internacionalización y Recursos Humanos",I3:I1439,"No")</f>
        <v>10</v>
      </c>
      <c r="AQ173" s="5">
        <f>COUNTIFS(   D3:D1439,"Innovación y estrategia en Empresas y Organizaciones: Medio Ambiente, Internacionalización y Recursos Humanos",J3:J1439,"Sí")</f>
        <v>3</v>
      </c>
      <c r="AR173" s="5">
        <f>COUNTIFS(   D3:D1439,"Innovación y estrategia en Empresas y Organizaciones: Medio Ambiente, Internacionalización y Recursos Humanos",K3:K1439,"Sí")</f>
        <v>0</v>
      </c>
      <c r="AS173" s="5">
        <f>COUNTIFS(   D3:D1439,"Innovación y estrategia en Empresas y Organizaciones: Medio Ambiente, Internacionalización y Recursos Humanos",L3:L1439,"Sí")</f>
        <v>0</v>
      </c>
      <c r="AT173" s="5">
        <f>SUMIFS( E3:E1439, D3:D1439,"Innovación y estrategia en Empresas y Organizaciones: Medio Ambiente, Internacionalización y Recursos Humanos")</f>
        <v>13</v>
      </c>
      <c r="AU173" s="5">
        <f>SUMIFS( E3:E1439, F3:F1439,"Hombre", D3:D1439,"Innovación y estrategia en Empresas y Organizaciones: Medio Ambiente, Internacionalización y Recursos Humanos")</f>
        <v>13</v>
      </c>
      <c r="AV173" s="5">
        <f>SUMIFS( E3:E1439, F3:F1439,"Mujer", D3:D1439,"Innovación y estrategia en Empresas y Organizaciones: Medio Ambiente, Internacionalización y Recursos Humanos")</f>
        <v>0</v>
      </c>
      <c r="AW173" s="19">
        <f>SUMIFS( E3:E1439, A3:A1439,"2018", D3:D1439,"Innovación y estrategia en Empresas y Organizaciones: Medio Ambiente, Internacionalización y Recursos Humanos")</f>
        <v>0</v>
      </c>
      <c r="AX173" s="5">
        <f>SUMIFS( E3:E1439, A3:A1439,"2019", D3:D1439,"Innovación y estrategia en Empresas y Organizaciones: Medio Ambiente, Internacionalización y Recursos Humanos")</f>
        <v>10</v>
      </c>
      <c r="AY173" s="5">
        <f>SUMIFS( E3:E1439, A3:A1439,"2020", D3:D1439,"Innovación y estrategia en Empresas y Organizaciones: Medio Ambiente, Internacionalización y Recursos Humanos")</f>
        <v>2</v>
      </c>
      <c r="AZ173" s="5">
        <f>SUMIFS( E3:E1439, A3:A1439,"2021", D3:D1439,"Innovación y estrategia en Empresas y Organizaciones: Medio Ambiente, Internacionalización y Recursos Humanos")</f>
        <v>1</v>
      </c>
      <c r="BA173" s="5">
        <f>SUMIFS( E3:E1439, A3:A1439,"2022", D3:D1439,"Innovación y estrategia en Empresas y Organizaciones: Medio Ambiente, Internacionalización y Recursos Humanos")</f>
        <v>0</v>
      </c>
      <c r="BB173" s="19">
        <f>SUMIFS( E3:E1439, N3:N1439,"2018", D3:D1439,"Innovación y estrategia en Empresas y Organizaciones: Medio Ambiente, Internacionalización y Recursos Humanos")</f>
        <v>0</v>
      </c>
      <c r="BC173" s="5">
        <f>SUMIFS( E3:E1439, N3:N1439,"2019", D3:D1439,"Innovación y estrategia en Empresas y Organizaciones: Medio Ambiente, Internacionalización y Recursos Humanos")</f>
        <v>0</v>
      </c>
      <c r="BD173" s="5">
        <f>SUMIFS( E3:E1439, N3:N1439,"2020", D3:D1439,"Innovación y estrategia en Empresas y Organizaciones: Medio Ambiente, Internacionalización y Recursos Humanos")</f>
        <v>10</v>
      </c>
      <c r="BE173" s="5">
        <f>SUMIFS( E3:E1439, N3:N1439,"2021", D3:D1439,"Innovación y estrategia en Empresas y Organizaciones: Medio Ambiente, Internacionalización y Recursos Humanos")</f>
        <v>3</v>
      </c>
      <c r="BF173" s="5">
        <f>SUMIFS( E3:E1439, N3:N1439,"2022", D3:D1439,"Innovación y estrategia en Empresas y Organizaciones: Medio Ambiente, Internacionalización y Recursos Humanos")</f>
        <v>0</v>
      </c>
      <c r="BG173" s="14">
        <f>AVERAGEIFS( E3:E1439, D3:D1439,"Innovación y estrategia en Empresas y Organizaciones: Medio Ambiente, Internacionalización y Recursos Humanos")</f>
        <v>4.333333333333333</v>
      </c>
      <c r="BH173" s="14"/>
      <c r="BI173" s="14"/>
      <c r="BJ173" s="14"/>
      <c r="BK173" s="14"/>
      <c r="BL173" s="37"/>
      <c r="BM173" s="14"/>
      <c r="BN173" s="14"/>
      <c r="BO173" s="14"/>
      <c r="BP173" s="14"/>
      <c r="BQ173" s="14"/>
      <c r="BR173" s="14"/>
    </row>
    <row r="174" spans="1:70" ht="15" customHeight="1">
      <c r="A174" s="24">
        <v>2018</v>
      </c>
      <c r="B174" s="24" t="s">
        <v>136</v>
      </c>
      <c r="C174" s="24" t="s">
        <v>176</v>
      </c>
      <c r="D174" s="24" t="s">
        <v>177</v>
      </c>
      <c r="E174" s="23"/>
      <c r="F174" s="24" t="s">
        <v>207</v>
      </c>
      <c r="G174" s="23" t="s">
        <v>226</v>
      </c>
      <c r="H174" s="23" t="s">
        <v>225</v>
      </c>
      <c r="I174" s="24" t="s">
        <v>226</v>
      </c>
      <c r="J174" s="23" t="s">
        <v>226</v>
      </c>
      <c r="K174" s="24" t="s">
        <v>226</v>
      </c>
      <c r="L174" s="23"/>
      <c r="M174" s="26" t="s">
        <v>315</v>
      </c>
      <c r="N174" s="24">
        <v>2019</v>
      </c>
      <c r="O174" s="51" t="s">
        <v>326</v>
      </c>
      <c r="P174" s="52"/>
      <c r="Q174" s="52"/>
      <c r="R174" s="52"/>
      <c r="S174" s="52"/>
      <c r="T174" s="53"/>
      <c r="U174" s="5">
        <f>COUNTIFS(   D3:D1439,"Internacionalización Económica, Instituciones y Políticas")</f>
        <v>6</v>
      </c>
      <c r="V174" s="5">
        <f>COUNTIFS(   D3:D1439,"Internacionalización Económica, Instituciones y Políticas",F3:F1439,"Hombre")</f>
        <v>5</v>
      </c>
      <c r="W174" s="5">
        <f>COUNTIFS(   D3:D1439,"Internacionalización Económica, Instituciones y Políticas",F3:F1439,"Mujer")</f>
        <v>1</v>
      </c>
      <c r="X174" s="19">
        <f>COUNTIFS(   A3:A1439,"2018", D3:D1439,"Internacionalización Económica, Instituciones y Políticas")</f>
        <v>1</v>
      </c>
      <c r="Y174" s="5">
        <f>COUNTIFS(   A3:A1439,"2019", D3:D1439,"Internacionalización Económica, Instituciones y Políticas")</f>
        <v>0</v>
      </c>
      <c r="Z174" s="5">
        <f>COUNTIFS(   A3:A1439,"2020", D3:D1439,"Internacionalización Económica, Instituciones y Políticas")</f>
        <v>1</v>
      </c>
      <c r="AA174" s="5">
        <f>COUNTIFS(   A3:A1439,"2021", D3:D1439,"Internacionalización Económica, Instituciones y Políticas")</f>
        <v>4</v>
      </c>
      <c r="AB174" s="5">
        <f>COUNTIFS(  A3:A1439,"2022", D3:D1439,"Internacionalización Económica, Instituciones y Políticas")</f>
        <v>0</v>
      </c>
      <c r="AC174" s="19">
        <f>COUNTIFS(   N3:N1439,"2018", D3:D1439,"Internacionalización Económica, Instituciones y Políticas")</f>
        <v>0</v>
      </c>
      <c r="AD174" s="5">
        <f>COUNTIFS(   N3:N1439,"2019", D3:D1439,"Internacionalización Económica, Instituciones y Políticas")</f>
        <v>1</v>
      </c>
      <c r="AE174" s="5">
        <f>COUNTIFS(   N3:N1439,"2020", D3:D1439,"Internacionalización Económica, Instituciones y Políticas")</f>
        <v>0</v>
      </c>
      <c r="AF174" s="5">
        <f>COUNTIFS(   N3:N1439,"2021", D3:D1439,"Internacionalización Económica, Instituciones y Políticas")</f>
        <v>3</v>
      </c>
      <c r="AG174" s="5">
        <f>COUNTIFS(   N3:N1439,"2022", D3:D1439,"Internacionalización Económica, Instituciones y Políticas")</f>
        <v>2</v>
      </c>
      <c r="AH174" s="5">
        <f>COUNTIFS(   D3:D1439,"Internacionalización Económica, Instituciones y Políticas",G3:G1439,"Sí")</f>
        <v>0</v>
      </c>
      <c r="AI174" s="5">
        <f>COUNTIFS(   D3:D1439,"Internacionalización Económica, Instituciones y Políticas",G3:G1439,"No")</f>
        <v>6</v>
      </c>
      <c r="AJ174" s="5">
        <f>SUMIFS( E3:E1439, D3:D1439,"Internacionalización Económica, Instituciones y Políticas",G3:G1439,"Sí")</f>
        <v>0</v>
      </c>
      <c r="AK174" s="5">
        <f>SUMIFS( E3:E1439, D3:D1439,"Internacionalización Económica, Instituciones y Políticas",G3:G1439,"No")</f>
        <v>15</v>
      </c>
      <c r="AL174" s="5">
        <f>COUNTIFS(   D3:D1439,"Internacionalización Económica, Instituciones y Políticas",H3:H1439,"Sí")</f>
        <v>6</v>
      </c>
      <c r="AM174" s="5">
        <f>COUNTIFS(   D3:D1439,"Internacionalización Económica, Instituciones y Políticas",I3:I1439,"Sí")</f>
        <v>0</v>
      </c>
      <c r="AN174" s="5">
        <f>COUNTIFS(   D3:D1439,"Internacionalización Económica, Instituciones y Políticas",I3:I1439,"No")</f>
        <v>6</v>
      </c>
      <c r="AO174" s="5">
        <f>SUMIFS( E3:E1439, D3:D1439,"Internacionalización Económica, Instituciones y Políticas",I3:I1439,"Sí")</f>
        <v>0</v>
      </c>
      <c r="AP174" s="5">
        <f>SUMIFS( E3:E1439, D3:D1439,"Internacionalización Económica, Instituciones y Políticas",I3:I1439,"No")</f>
        <v>15</v>
      </c>
      <c r="AQ174" s="5">
        <f>COUNTIFS(   D3:D1439,"Internacionalización Económica, Instituciones y Políticas",J3:J1439,"Sí")</f>
        <v>6</v>
      </c>
      <c r="AR174" s="5">
        <f>COUNTIFS(   D3:D1439,"Internacionalización Económica, Instituciones y Políticas",K3:K1439,"Sí")</f>
        <v>1</v>
      </c>
      <c r="AS174" s="5">
        <f>COUNTIFS(   D3:D1439,"Internacionalización Económica, Instituciones y Políticas",L3:L1439,"Sí")</f>
        <v>0</v>
      </c>
      <c r="AT174" s="5">
        <f>SUMIFS( E3:E1439, D3:D1439,"Internacionalización Económica, Instituciones y Políticas")</f>
        <v>15</v>
      </c>
      <c r="AU174" s="5">
        <f>SUMIFS( E3:E1439, F3:F1439,"Hombre", D3:D1439,"Internacionalización Económica, Instituciones y Políticas")</f>
        <v>10</v>
      </c>
      <c r="AV174" s="5">
        <f>SUMIFS( E3:E1439, F3:F1439,"Mujer", D3:D1439,"Internacionalización Económica, Instituciones y Políticas")</f>
        <v>5</v>
      </c>
      <c r="AW174" s="19">
        <f>SUMIFS( E3:E1439, A3:A1439,"2018", D3:D1439,"Internacionalización Económica, Instituciones y Políticas")</f>
        <v>1</v>
      </c>
      <c r="AX174" s="5">
        <f>SUMIFS( E3:E1439, A3:A1439,"2019", D3:D1439,"Internacionalización Económica, Instituciones y Políticas")</f>
        <v>0</v>
      </c>
      <c r="AY174" s="5">
        <f>SUMIFS( E3:E1439, A3:A1439,"2020", D3:D1439,"Internacionalización Económica, Instituciones y Políticas")</f>
        <v>4</v>
      </c>
      <c r="AZ174" s="5">
        <f>SUMIFS( E3:E1439, A3:A1439,"2021", D3:D1439,"Internacionalización Económica, Instituciones y Políticas")</f>
        <v>10</v>
      </c>
      <c r="BA174" s="5">
        <f>SUMIFS( E3:E1439, A3:A1439,"2022", D3:D1439,"Internacionalización Económica, Instituciones y Políticas")</f>
        <v>0</v>
      </c>
      <c r="BB174" s="19">
        <f>SUMIFS( E3:E1439, N3:N1439,"2018", D3:D1439,"Internacionalización Económica, Instituciones y Políticas")</f>
        <v>0</v>
      </c>
      <c r="BC174" s="5">
        <f>SUMIFS( E3:E1439, N3:N1439,"2019", D3:D1439,"Internacionalización Económica, Instituciones y Políticas")</f>
        <v>1</v>
      </c>
      <c r="BD174" s="5">
        <f>SUMIFS( E3:E1439, N3:N1439,"2020", D3:D1439,"Internacionalización Económica, Instituciones y Políticas")</f>
        <v>0</v>
      </c>
      <c r="BE174" s="5">
        <f>SUMIFS( E3:E1439, N3:N1439,"2021", D3:D1439,"Internacionalización Económica, Instituciones y Políticas")</f>
        <v>10</v>
      </c>
      <c r="BF174" s="5">
        <f>SUMIFS( E3:E1439, N3:N1439,"2022", D3:D1439,"Internacionalización Económica, Instituciones y Políticas")</f>
        <v>4</v>
      </c>
      <c r="BG174" s="14">
        <f>AVERAGEIFS( E3:E1439, D3:D1439,"Internacionalización Económica, Instituciones y Políticas")</f>
        <v>2.5</v>
      </c>
      <c r="BH174" s="14"/>
      <c r="BI174" s="14"/>
      <c r="BJ174" s="14"/>
      <c r="BK174" s="14"/>
      <c r="BL174" s="37"/>
      <c r="BM174" s="14"/>
      <c r="BN174" s="14"/>
      <c r="BO174" s="14"/>
      <c r="BP174" s="14"/>
      <c r="BQ174" s="14"/>
      <c r="BR174" s="14"/>
    </row>
    <row r="175" spans="1:70" ht="15" customHeight="1">
      <c r="A175" s="24">
        <v>2018</v>
      </c>
      <c r="B175" s="24" t="s">
        <v>4</v>
      </c>
      <c r="C175" s="24" t="s">
        <v>203</v>
      </c>
      <c r="D175" s="24" t="s">
        <v>42</v>
      </c>
      <c r="E175" s="23"/>
      <c r="F175" s="24" t="s">
        <v>211</v>
      </c>
      <c r="G175" s="24" t="s">
        <v>225</v>
      </c>
      <c r="H175" s="23" t="s">
        <v>225</v>
      </c>
      <c r="I175" s="24" t="s">
        <v>226</v>
      </c>
      <c r="J175" s="23" t="s">
        <v>226</v>
      </c>
      <c r="K175" s="24" t="s">
        <v>226</v>
      </c>
      <c r="L175" s="23"/>
      <c r="M175" s="26" t="s">
        <v>315</v>
      </c>
      <c r="N175" s="24">
        <v>2019</v>
      </c>
      <c r="O175" s="67" t="s">
        <v>147</v>
      </c>
      <c r="P175" s="68"/>
      <c r="Q175" s="68"/>
      <c r="R175" s="68"/>
      <c r="S175" s="68"/>
      <c r="T175" s="69"/>
      <c r="U175" s="5">
        <f>COUNTIFS(   D4:D1440,"Economía pública: recaudación, salud, dependencia, educación y gestión del agua")</f>
        <v>9</v>
      </c>
      <c r="V175" s="5">
        <f>COUNTIFS(   D4:D1440,"Economía pública: recaudación, salud, dependencia, educación y gestión del agua",F4:F1440,"Hombre")</f>
        <v>3</v>
      </c>
      <c r="W175" s="5">
        <f>COUNTIFS(   D4:D1440,"Economía pública: recaudación, salud, dependencia, educación y gestión del agua",F4:F1440,"Mujer")</f>
        <v>6</v>
      </c>
      <c r="X175" s="19">
        <f>COUNTIFS(   A4:A1440,"2018", D4:D1440,"Economía pública: recaudación, salud, dependencia, educación y gestión del agua")</f>
        <v>2</v>
      </c>
      <c r="Y175" s="5">
        <f>COUNTIFS(   A4:A1440,"2019", D4:D1440,"Economía pública: recaudación, salud, dependencia, educación y gestión del agua")</f>
        <v>1</v>
      </c>
      <c r="Z175" s="5">
        <f>COUNTIFS(   A4:A1440,"2020", D4:D1440,"Economía pública: recaudación, salud, dependencia, educación y gestión del agua")</f>
        <v>4</v>
      </c>
      <c r="AA175" s="5">
        <f>COUNTIFS(   A4:A1440,"2021", D4:D1440,"Economía pública: recaudación, salud, dependencia, educación y gestión del agua")</f>
        <v>2</v>
      </c>
      <c r="AB175" s="5">
        <f>COUNTIFS(  A4:A1440,"2022", D4:D1440,"Economía pública: recaudación, salud, dependencia, educación y gestión del agua")</f>
        <v>0</v>
      </c>
      <c r="AC175" s="19">
        <f>COUNTIFS(   N4:N1440,"2018", D4:D1440,"Economía pública: recaudación, salud, dependencia, educación y gestión del agua")</f>
        <v>0</v>
      </c>
      <c r="AD175" s="5">
        <f>COUNTIFS(   N4:N1440,"2019", D4:D1440,"Economía pública: recaudación, salud, dependencia, educación y gestión del agua")</f>
        <v>2</v>
      </c>
      <c r="AE175" s="5">
        <f>COUNTIFS(   N4:N1440,"2020", D4:D1440,"Economía pública: recaudación, salud, dependencia, educación y gestión del agua")</f>
        <v>4</v>
      </c>
      <c r="AF175" s="5">
        <f>COUNTIFS(   N4:N1440,"2021", D4:D1440,"Economía pública: recaudación, salud, dependencia, educación y gestión del agua")</f>
        <v>3</v>
      </c>
      <c r="AG175" s="5">
        <f>COUNTIFS(   N4:N1440,"2022", D4:D1440,"Economía pública: recaudación, salud, dependencia, educación y gestión del agua")</f>
        <v>0</v>
      </c>
      <c r="AH175" s="5">
        <f>COUNTIFS(   D4:D1440,"Economía pública: recaudación, salud, dependencia, educación y gestión del agua",G4:G1440,"Sí")</f>
        <v>1</v>
      </c>
      <c r="AI175" s="5">
        <f>COUNTIFS(   D4:D1440,"Economía pública: recaudación, salud, dependencia, educación y gestión del agua",G4:G1440,"No")</f>
        <v>8</v>
      </c>
      <c r="AJ175" s="5">
        <f>SUMIFS( E4:E1440, D4:D1440,"Economía pública: recaudación, salud, dependencia, educación y gestión del agua",G4:G1440,"Sí")</f>
        <v>1</v>
      </c>
      <c r="AK175" s="5">
        <f>SUMIFS( E4:E1440, D4:D1440,"Economía pública: recaudación, salud, dependencia, educación y gestión del agua",G4:G1440,"No")</f>
        <v>28</v>
      </c>
      <c r="AL175" s="5">
        <f>COUNTIFS(   D4:D1440,"Economía pública: recaudación, salud, dependencia, educación y gestión del agua",H4:H1440,"Sí")</f>
        <v>8</v>
      </c>
      <c r="AM175" s="5">
        <f>COUNTIFS(   D4:D1440,"Economía pública: recaudación, salud, dependencia, educación y gestión del agua",I4:I1440,"Sí")</f>
        <v>2</v>
      </c>
      <c r="AN175" s="5">
        <f>COUNTIFS(   D4:D1440,"Economía pública: recaudación, salud, dependencia, educación y gestión del agua",I4:I1440,"No")</f>
        <v>7</v>
      </c>
      <c r="AO175" s="5">
        <f>SUMIFS( E4:E1440, D4:D1440,"Economía pública: recaudación, salud, dependencia, educación y gestión del agua",I4:I1440,"Sí")</f>
        <v>12</v>
      </c>
      <c r="AP175" s="5">
        <f>SUMIFS( E4:E1440, D4:D1440,"Economía pública: recaudación, salud, dependencia, educación y gestión del agua",I4:I1440,"No")</f>
        <v>17</v>
      </c>
      <c r="AQ175" s="5">
        <f>COUNTIFS(   D4:D1440,"Economía pública: recaudación, salud, dependencia, educación y gestión del agua",J4:J1440,"Sí")</f>
        <v>9</v>
      </c>
      <c r="AR175" s="5">
        <f>COUNTIFS(   D4:D1440,"Economía pública: recaudación, salud, dependencia, educación y gestión del agua",K4:K1440,"Sí")</f>
        <v>2</v>
      </c>
      <c r="AS175" s="5">
        <f>COUNTIFS(   D4:D1440,"Economía pública: recaudación, salud, dependencia, educación y gestión del agua",L4:L1440,"Sí")</f>
        <v>0</v>
      </c>
      <c r="AT175" s="5">
        <f>SUMIFS( E4:E1440, D4:D1440,"Economía pública: recaudación, salud, dependencia, educación y gestión del agua")</f>
        <v>29</v>
      </c>
      <c r="AU175" s="5">
        <f>SUMIFS( E4:E1440, F4:F1440,"Hombre", D4:D1440,"Economía pública: recaudación, salud, dependencia, educación y gestión del agua")</f>
        <v>4</v>
      </c>
      <c r="AV175" s="5">
        <f>SUMIFS( E4:E1440, F4:F1440,"Mujer", D4:D1440,"Economía pública: recaudación, salud, dependencia, educación y gestión del agua")</f>
        <v>25</v>
      </c>
      <c r="AW175" s="19">
        <f>SUMIFS( E4:E1440, A4:A1440,"2018", D4:D1440,"Economía pública: recaudación, salud, dependencia, educación y gestión del agua")</f>
        <v>2</v>
      </c>
      <c r="AX175" s="5">
        <f>SUMIFS( E4:E1440, A4:A1440,"2019", D4:D1440,"Economía pública: recaudación, salud, dependencia, educación y gestión del agua")</f>
        <v>11</v>
      </c>
      <c r="AY175" s="5">
        <f>SUMIFS( E4:E1440, A4:A1440,"2020", D4:D1440,"Economía pública: recaudación, salud, dependencia, educación y gestión del agua")</f>
        <v>8</v>
      </c>
      <c r="AZ175" s="5">
        <f>SUMIFS( E4:E1440, A4:A1440,"2021", D4:D1440,"Economía pública: recaudación, salud, dependencia, educación y gestión del agua")</f>
        <v>8</v>
      </c>
      <c r="BA175" s="5">
        <f>SUMIFS( E4:E1440, A4:A1440,"2022", D4:D1440,"Economía pública: recaudación, salud, dependencia, educación y gestión del agua")</f>
        <v>0</v>
      </c>
      <c r="BB175" s="19">
        <f>SUMIFS( E4:E1440, N4:N1440,"2018", D4:D1440,"Economía pública: recaudación, salud, dependencia, educación y gestión del agua")</f>
        <v>0</v>
      </c>
      <c r="BC175" s="5">
        <f>SUMIFS( E4:E1440, N4:N1440,"2019", D4:D1440,"Economía pública: recaudación, salud, dependencia, educación y gestión del agua")</f>
        <v>2</v>
      </c>
      <c r="BD175" s="5">
        <f>SUMIFS( E4:E1440, N4:N1440,"2020", D4:D1440,"Economía pública: recaudación, salud, dependencia, educación y gestión del agua")</f>
        <v>18</v>
      </c>
      <c r="BE175" s="5">
        <f>SUMIFS( E4:E1440, N4:N1440,"2021", D4:D1440,"Economía pública: recaudación, salud, dependencia, educación y gestión del agua")</f>
        <v>9</v>
      </c>
      <c r="BF175" s="5">
        <f>SUMIFS( E4:E1440, N4:N1440,"2022", D4:D1440,"Economía pública: recaudación, salud, dependencia, educación y gestión del agua")</f>
        <v>0</v>
      </c>
      <c r="BG175" s="14">
        <f>AVERAGEIFS( E4:E1440, D4:D1440,"Economía pública: recaudación, salud, dependencia, educación y gestión del agua")</f>
        <v>3.625</v>
      </c>
      <c r="BH175" s="14">
        <v>0</v>
      </c>
      <c r="BI175" s="14">
        <v>0</v>
      </c>
      <c r="BJ175" s="14">
        <v>0</v>
      </c>
      <c r="BK175" s="14">
        <v>0</v>
      </c>
      <c r="BL175" s="37" t="e">
        <f>AVERAGEIFS( E4:E1440, A4:A1440,"2022", D4:D1440,"Economía pública: recaudación, salud, dependencia, educación y gestión del agua")</f>
        <v>#DIV/0!</v>
      </c>
      <c r="BM175" s="14">
        <v>4.25</v>
      </c>
      <c r="BN175" s="14">
        <v>0</v>
      </c>
      <c r="BO175" s="14">
        <v>0</v>
      </c>
      <c r="BP175" s="14">
        <v>0</v>
      </c>
      <c r="BQ175" s="14">
        <v>0</v>
      </c>
      <c r="BR175" s="14">
        <v>4.25</v>
      </c>
    </row>
    <row r="176" spans="1:70" ht="15" customHeight="1">
      <c r="A176" s="24">
        <v>2018</v>
      </c>
      <c r="B176" s="24" t="s">
        <v>4</v>
      </c>
      <c r="C176" s="24" t="s">
        <v>5</v>
      </c>
      <c r="D176" s="24" t="s">
        <v>12</v>
      </c>
      <c r="E176" s="23">
        <v>2</v>
      </c>
      <c r="F176" s="24" t="s">
        <v>207</v>
      </c>
      <c r="G176" s="24" t="s">
        <v>225</v>
      </c>
      <c r="H176" s="23" t="s">
        <v>226</v>
      </c>
      <c r="I176" s="24" t="s">
        <v>226</v>
      </c>
      <c r="J176" s="23" t="s">
        <v>226</v>
      </c>
      <c r="K176" s="24" t="s">
        <v>226</v>
      </c>
      <c r="L176" s="23"/>
      <c r="M176" s="26" t="s">
        <v>316</v>
      </c>
      <c r="N176" s="24">
        <v>2019</v>
      </c>
      <c r="O176" s="67" t="s">
        <v>149</v>
      </c>
      <c r="P176" s="68"/>
      <c r="Q176" s="68"/>
      <c r="R176" s="68"/>
      <c r="S176" s="68"/>
      <c r="T176" s="69"/>
      <c r="U176" s="5">
        <f>COUNTIFS(   D4:D1440,"Sistemas de información económico-financiera para la dirección, gestión y control de entidades públicas y privadas")</f>
        <v>6</v>
      </c>
      <c r="V176" s="5">
        <f>COUNTIFS(   D4:D1440,"Sistemas de información económico=CONTAR.SI.CONJUNTOfinanciera para la dirección, gestión y control de entidades públicas y privadas",F4:F1440,"Hombre")</f>
        <v>0</v>
      </c>
      <c r="W176" s="5">
        <f>COUNTIFS(   D4:D1440,"Sistemas de información económico=CONTAR.SI.CONJUNTOfinanciera para la dirección, gestión y control de entidades públicas y privadas",F4:F1440,"Mujer")</f>
        <v>0</v>
      </c>
      <c r="X176" s="19">
        <f>COUNTIFS(   A4:A1440,"2018", D4:D1440,"Sistemas de información económico-financiera para la dirección, gestión y control de entidades públicas y privadas")</f>
        <v>2</v>
      </c>
      <c r="Y176" s="5">
        <f>COUNTIFS(   A4:A1440,"2019", D4:D1440,"Sistemas de información económico-financiera para la dirección, gestión y control de entidades públicas y privadas")</f>
        <v>4</v>
      </c>
      <c r="Z176" s="5">
        <f>COUNTIFS(   A4:A1440,"2020", D4:D1440,"Sistemas de información económico-financiera para la dirección, gestión y control de entidades públicas y privadas")</f>
        <v>0</v>
      </c>
      <c r="AA176" s="5">
        <f>COUNTIFS(   A4:A1440,"2021", D4:D1440,"Sistemas de información económico-financiera para la dirección, gestión y control de entidades públicas y privadas")</f>
        <v>0</v>
      </c>
      <c r="AB176" s="5">
        <f>COUNTIFS(  A4:A1440,"2022", D4:D1440,"Sistemas de información económico-financiera para la dirección, gestión y control de entidades públicas y privadas")</f>
        <v>0</v>
      </c>
      <c r="AC176" s="19">
        <f>COUNTIFS(   N4:N1440,"2018", D4:D1440,"Sistemas de información económico-financiera para la dirección, gestión y control de entidades públicas y privadas")</f>
        <v>2</v>
      </c>
      <c r="AD176" s="5">
        <f>COUNTIFS(   N4:N1440,"2019", D4:D1440,"Sistemas de información económico-financiera para la dirección, gestión y control de entidades públicas y privadas")</f>
        <v>1</v>
      </c>
      <c r="AE176" s="5">
        <f>COUNTIFS(   N4:N1440,"2020", D4:D1440,"Sistemas de información económico-financiera para la dirección, gestión y control de entidades públicas y privadas")</f>
        <v>3</v>
      </c>
      <c r="AF176" s="5">
        <f>COUNTIFS(   N4:N1440,"2021", D4:D1440,"Sistemas de información económico-financiera para la dirección, gestión y control de entidades públicas y privadas")</f>
        <v>0</v>
      </c>
      <c r="AG176" s="5">
        <f>COUNTIFS(   N4:N1440,"2022", D4:D1440,"Sistemas de información económico-financiera para la dirección, gestión y control de entidades públicas y privadas")</f>
        <v>0</v>
      </c>
      <c r="AH176" s="5">
        <f>COUNTIFS(   D4:D1440,"Sistemas de información económico=CONTAR.SI.CONJUNTOfinanciera para la dirección, gestión y control de entidades públicas y privadas",G4:G1440,"Sí")</f>
        <v>0</v>
      </c>
      <c r="AI176" s="5">
        <f>COUNTIFS(   D4:D1440,"Sistemas de información económico=CONTAR.SI.CONJUNTOfinanciera para la dirección, gestión y control de entidades públicas y privadas",G4:G1440,"No")</f>
        <v>0</v>
      </c>
      <c r="AJ176" s="5">
        <f>SUMIFS( E4:E1440, D4:D1440,"Sistemas de información económico-financiera para la dirección, gestión y control de entidades públicas y privadas",G4:G1440,"Sí")</f>
        <v>0</v>
      </c>
      <c r="AK176" s="5">
        <f>SUMIFS( E4:E1440, D4:D1440,"Sistemas de información económico-financiera para la dirección, gestión y control de entidades públicas y privadas",G4:G1440,"No")</f>
        <v>21</v>
      </c>
      <c r="AL176" s="5">
        <f>COUNTIFS(   D4:D1440,"Sistemas de información económico=CONTAR.SI.CONJUNTOfinanciera para la dirección, gestión y control de entidades públicas y privadas",H4:H1440,"Sí")</f>
        <v>0</v>
      </c>
      <c r="AM176" s="5">
        <f>COUNTIFS(   D4:D1440,"Sistemas de información económico=CONTAR.SI.CONJUNTOfinanciera para la dirección, gestión y control de entidades públicas y privadas",I4:I1440,"Sí")</f>
        <v>0</v>
      </c>
      <c r="AN176" s="5">
        <f>COUNTIFS(   D4:D1440,"Sistemas de información económico=CONTAR.SI.CONJUNTOfinanciera para la dirección, gestión y control de entidades públicas y privadas",I4:I1440,"No")</f>
        <v>0</v>
      </c>
      <c r="AO176" s="5">
        <f>SUMIFS( E4:E1440, D4:D1440,"Sistemas de información económico-financiera para la dirección, gestión y control de entidades públicas y privadas",I4:I1440,"Sí")</f>
        <v>9</v>
      </c>
      <c r="AP176" s="5">
        <f>SUMIFS( E4:E1440, D4:D1440,"Sistemas de información económico-financiera para la dirección, gestión y control de entidades públicas y privadas",I4:I1440,"No")</f>
        <v>12</v>
      </c>
      <c r="AQ176" s="5">
        <f>COUNTIFS(   D4:D1440,"Sistemas de información económico=CONTAR.SI.CONJUNTOfinanciera para la dirección, gestión y control de entidades públicas y privadas",J4:J1440,"Sí")</f>
        <v>0</v>
      </c>
      <c r="AR176" s="5">
        <f>COUNTIFS(   D4:D1440,"Sistemas de información económico=CONTAR.SI.CONJUNTOfinanciera para la dirección, gestión y control de entidades públicas y privadas",K4:K1440,"Sí")</f>
        <v>0</v>
      </c>
      <c r="AS176" s="5">
        <f>COUNTIFS(   D4:D1440,"Sistemas de información económico=CONTAR.SI.CONJUNTOfinanciera para la dirección, gestión y control de entidades públicas y privadas",L4:L1440,"Sí")</f>
        <v>0</v>
      </c>
      <c r="AT176" s="5">
        <f>SUMIFS( E4:E1440, D4:D1440,"Sistemas de información económico-financiera para la dirección, gestión y control de entidades públicas y privadas")</f>
        <v>21</v>
      </c>
      <c r="AU176" s="5">
        <f>SUMIFS( E4:E1440, F4:F1440,"Hombre", D4:D1440,"Sistemas de información económico-financiera para la dirección, gestión y control de entidades públicas y privadas")</f>
        <v>5</v>
      </c>
      <c r="AV176" s="5">
        <f>SUMIFS( E4:E1440, F4:F1440,"Mujer", D4:D1440,"Sistemas de información económico-financiera para la dirección, gestión y control de entidades públicas y privadas")</f>
        <v>16</v>
      </c>
      <c r="AW176" s="19">
        <f>SUMIFS( E4:E1440, A4:A1440,"2018", D4:D1440,"Sistemas de información económico-financiera para la dirección, gestión y control de entidades públicas y privadas")</f>
        <v>6</v>
      </c>
      <c r="AX176" s="5">
        <f>SUMIFS( E4:E1440, A4:A1440,"2019", D4:D1440,"Sistemas de información económico-financiera para la dirección, gestión y control de entidades públicas y privadas")</f>
        <v>15</v>
      </c>
      <c r="AY176" s="5">
        <f>SUMIFS( E4:E1440, A4:A1440,"2020", D4:D1440,"Sistemas de información económico-financiera para la dirección, gestión y control de entidades públicas y privadas")</f>
        <v>0</v>
      </c>
      <c r="AZ176" s="5">
        <f>SUMIFS( E4:E1440, A4:A1440,"2021", D4:D1440,"Sistemas de información económico-financiera para la dirección, gestión y control de entidades públicas y privadas")</f>
        <v>0</v>
      </c>
      <c r="BA176" s="5">
        <f>SUMIFS( E4:E1440, A4:A1440,"2022", D4:D1440,"Sistemas de información económico-financiera para la dirección, gestión y control de entidades públicas y privadas")</f>
        <v>0</v>
      </c>
      <c r="BB176" s="19">
        <f>SUMIFS( E4:E1440, N4:N1440,"2018", D4:D1440,"Sistemas de información económico-financiera para la dirección, gestión y control de entidades públicas y privadas")</f>
        <v>6</v>
      </c>
      <c r="BC176" s="5">
        <f>SUMIFS( E4:E1440, N4:N1440,"2019", D4:D1440,"Sistemas de información económico-financiera para la dirección, gestión y control de entidades públicas y privadas")</f>
        <v>2</v>
      </c>
      <c r="BD176" s="5">
        <f>SUMIFS( E4:E1440, N4:N1440,"2020", D4:D1440,"Sistemas de información económico-financiera para la dirección, gestión y control de entidades públicas y privadas")</f>
        <v>13</v>
      </c>
      <c r="BE176" s="5">
        <f>SUMIFS( E4:E1440, N4:N1440,"2021", D4:D1440,"Sistemas de información económico-financiera para la dirección, gestión y control de entidades públicas y privadas")</f>
        <v>0</v>
      </c>
      <c r="BF176" s="5">
        <f>SUMIFS( E4:E1440, N4:N1440,"2022", D4:D1440,"Sistemas de información económico-financiera para la dirección, gestión y control de entidades públicas y privadas")</f>
        <v>0</v>
      </c>
      <c r="BG176" s="14">
        <f>AVERAGEIFS( E4:E1440, D4:D1440,"Sistemas de información económico-financiera para la dirección, gestión y control de entidades públicas y privadas")</f>
        <v>3.5</v>
      </c>
      <c r="BH176" s="14">
        <v>0</v>
      </c>
      <c r="BI176" s="14">
        <v>0</v>
      </c>
      <c r="BJ176" s="14">
        <v>0</v>
      </c>
      <c r="BK176" s="14" t="e">
        <f>AVERAGEIFS( E4:E1440, A4:A1440,"2021", D4:D1440,"Sistemas de información económico-financiera para la dirección, gestión y control de entidades públicas y privadas")</f>
        <v>#DIV/0!</v>
      </c>
      <c r="BL176" s="37">
        <v>0</v>
      </c>
      <c r="BM176" s="14">
        <v>6</v>
      </c>
      <c r="BN176" s="14">
        <v>0</v>
      </c>
      <c r="BO176" s="14">
        <v>0</v>
      </c>
      <c r="BP176" s="14">
        <v>0</v>
      </c>
      <c r="BQ176" s="14">
        <v>6</v>
      </c>
      <c r="BR176" s="14">
        <v>0</v>
      </c>
    </row>
    <row r="177" spans="1:70" ht="15" customHeight="1">
      <c r="A177" s="24">
        <v>2018</v>
      </c>
      <c r="B177" s="24" t="s">
        <v>4</v>
      </c>
      <c r="C177" s="24" t="s">
        <v>14</v>
      </c>
      <c r="D177" s="24" t="s">
        <v>15</v>
      </c>
      <c r="E177" s="23">
        <v>5</v>
      </c>
      <c r="F177" s="24" t="s">
        <v>211</v>
      </c>
      <c r="G177" s="24" t="s">
        <v>225</v>
      </c>
      <c r="H177" s="23" t="s">
        <v>226</v>
      </c>
      <c r="I177" s="24" t="s">
        <v>226</v>
      </c>
      <c r="J177" s="23" t="s">
        <v>226</v>
      </c>
      <c r="K177" s="24" t="s">
        <v>226</v>
      </c>
      <c r="L177" s="23"/>
      <c r="M177" s="26" t="s">
        <v>316</v>
      </c>
      <c r="N177" s="24">
        <v>2019</v>
      </c>
      <c r="O177" s="67" t="s">
        <v>148</v>
      </c>
      <c r="P177" s="68"/>
      <c r="Q177" s="68"/>
      <c r="R177" s="68"/>
      <c r="S177" s="68"/>
      <c r="T177" s="69"/>
      <c r="U177" s="5">
        <f>COUNTIFS(   D4:D1440,"Técnicas Cuantitativas Avanzadas en el Ámbito Económico y Empresarial")</f>
        <v>5</v>
      </c>
      <c r="V177" s="5">
        <f>COUNTIFS(   D4:D1440,"Técnicas Cuantitativas Avanzadas en el Ámbito Económico y Empresarial",F4:F1440,"Hombre")</f>
        <v>3</v>
      </c>
      <c r="W177" s="5">
        <f>COUNTIFS(   D4:D1440,"Técnicas Cuantitativas Avanzadas en el Ámbito Económico y Empresarial",F4:F1440,"Mujer")</f>
        <v>2</v>
      </c>
      <c r="X177" s="19">
        <f>COUNTIFS(   A4:A1440,"2018", D4:D1440,"Técnicas Cuantitativas Avanzadas en el Ámbito Económico y Empresarial")</f>
        <v>1</v>
      </c>
      <c r="Y177" s="5">
        <f>COUNTIFS(   A4:A1440,"2019", D4:D1440,"Técnicas Cuantitativas Avanzadas en el Ámbito Económico y Empresarial")</f>
        <v>2</v>
      </c>
      <c r="Z177" s="5">
        <f>COUNTIFS(   A4:A1440,"2020", D4:D1440,"Técnicas Cuantitativas Avanzadas en el Ámbito Económico y Empresarial")</f>
        <v>1</v>
      </c>
      <c r="AA177" s="5">
        <f>COUNTIFS(   A4:A1440,"2021", D4:D1440,"Técnicas Cuantitativas Avanzadas en el Ámbito Económico y Empresarial")</f>
        <v>1</v>
      </c>
      <c r="AB177" s="5">
        <f>COUNTIFS(  A4:A1440,"2022", D4:D1440,"Técnicas Cuantitativas Avanzadas en el Ámbito Económico y Empresarial")</f>
        <v>0</v>
      </c>
      <c r="AC177" s="19">
        <f>COUNTIFS(   N4:N1440,"2018", D4:D1440,"Técnicas Cuantitativas Avanzadas en el Ámbito Económico y Empresarial")</f>
        <v>0</v>
      </c>
      <c r="AD177" s="5">
        <f>COUNTIFS(   N4:N1440,"2019", D4:D1440,"Técnicas Cuantitativas Avanzadas en el Ámbito Económico y Empresarial")</f>
        <v>1</v>
      </c>
      <c r="AE177" s="5">
        <f>COUNTIFS(   N4:N1440,"2020", D4:D1440,"Técnicas Cuantitativas Avanzadas en el Ámbito Económico y Empresarial")</f>
        <v>2</v>
      </c>
      <c r="AF177" s="5">
        <f>COUNTIFS(   N4:N1440,"2021", D4:D1440,"Técnicas Cuantitativas Avanzadas en el Ámbito Económico y Empresarial")</f>
        <v>2</v>
      </c>
      <c r="AG177" s="5">
        <f>COUNTIFS(   N4:N1440,"2022", D4:D1440,"Técnicas Cuantitativas Avanzadas en el Ámbito Económico y Empresarial")</f>
        <v>0</v>
      </c>
      <c r="AH177" s="5">
        <f>COUNTIFS(   D4:D1440,"Técnicas Cuantitativas Avanzadas en el Ámbito Económico y Empresarial",G4:G1440,"Sí")</f>
        <v>0</v>
      </c>
      <c r="AI177" s="5">
        <f>COUNTIFS(   D4:D1440,"Técnicas Cuantitativas Avanzadas en el Ámbito Económico y Empresarial",G4:G1440,"No")</f>
        <v>5</v>
      </c>
      <c r="AJ177" s="5">
        <f>SUMIFS( E4:E1440, D4:D1440,"Técnicas Cuantitativas Avanzadas en el Ámbito Económico y Empresarial",G4:G1440,"Sí")</f>
        <v>0</v>
      </c>
      <c r="AK177" s="5">
        <f>SUMIFS( E4:E1440, D4:D1440,"Técnicas Cuantitativas Avanzadas en el Ámbito Económico y Empresarial",G4:G1440,"No")</f>
        <v>15</v>
      </c>
      <c r="AL177" s="5">
        <f>COUNTIFS(   D4:D1440,"Técnicas Cuantitativas Avanzadas en el Ámbito Económico y Empresarial",H4:H1440,"Sí")</f>
        <v>5</v>
      </c>
      <c r="AM177" s="5">
        <f>COUNTIFS(   D4:D1440,"Técnicas Cuantitativas Avanzadas en el Ámbito Económico y Empresarial",I4:I1440,"Sí")</f>
        <v>2</v>
      </c>
      <c r="AN177" s="5">
        <f>COUNTIFS(   D4:D1440,"Técnicas Cuantitativas Avanzadas en el Ámbito Económico y Empresarial",I4:I1440,"No")</f>
        <v>3</v>
      </c>
      <c r="AO177" s="5">
        <f>SUMIFS( E4:E1440, D4:D1440,"Técnicas Cuantitativas Avanzadas en el Ámbito Económico y Empresarial",I4:I1440,"Sí")</f>
        <v>3</v>
      </c>
      <c r="AP177" s="5">
        <f>SUMIFS( E4:E1440, D4:D1440,"Técnicas Cuantitativas Avanzadas en el Ámbito Económico y Empresarial",I4:I1440,"No")</f>
        <v>12</v>
      </c>
      <c r="AQ177" s="5">
        <f>COUNTIFS(   D4:D1440,"Técnicas Cuantitativas Avanzadas en el Ámbito Económico y Empresarial",J4:J1440,"Sí")</f>
        <v>5</v>
      </c>
      <c r="AR177" s="5">
        <f>COUNTIFS(   D4:D1440,"Técnicas Cuantitativas Avanzadas en el Ámbito Económico y Empresarial",K4:K1440,"Sí")</f>
        <v>1</v>
      </c>
      <c r="AS177" s="5">
        <f>COUNTIFS(   D4:D1440,"Técnicas Cuantitativas Avanzadas en el Ámbito Económico y Empresarial",L4:L1440,"Sí")</f>
        <v>0</v>
      </c>
      <c r="AT177" s="5">
        <f>SUMIFS( E4:E1440, D4:D1440,"Técnicas Cuantitativas Avanzadas en el Ámbito Económico y Empresarial")</f>
        <v>15</v>
      </c>
      <c r="AU177" s="5">
        <f>SUMIFS( E4:E1440, F4:F1440,"Hombre", D4:D1440,"Técnicas Cuantitativas Avanzadas en el Ámbito Económico y Empresarial")</f>
        <v>10</v>
      </c>
      <c r="AV177" s="5">
        <f>SUMIFS( E4:E1440, F4:F1440,"Mujer", D4:D1440,"Técnicas Cuantitativas Avanzadas en el Ámbito Económico y Empresarial")</f>
        <v>5</v>
      </c>
      <c r="AW177" s="19">
        <f>SUMIFS( E4:E1440, A4:A1440,"2018", D4:D1440,"Técnicas Cuantitativas Avanzadas en el Ámbito Económico y Empresarial")</f>
        <v>5</v>
      </c>
      <c r="AX177" s="5">
        <f>SUMIFS( E4:E1440, A4:A1440,"2019", D4:D1440,"Técnicas Cuantitativas Avanzadas en el Ámbito Económico y Empresarial")</f>
        <v>5</v>
      </c>
      <c r="AY177" s="5">
        <f>SUMIFS( E4:E1440, A4:A1440,"2020", D4:D1440,"Técnicas Cuantitativas Avanzadas en el Ámbito Económico y Empresarial")</f>
        <v>3</v>
      </c>
      <c r="AZ177" s="5">
        <f>SUMIFS( E4:E1440, A4:A1440,"2021", D4:D1440,"Técnicas Cuantitativas Avanzadas en el Ámbito Económico y Empresarial")</f>
        <v>2</v>
      </c>
      <c r="BA177" s="5">
        <f>SUMIFS( E4:E1440, A4:A1440,"2022", D4:D1440,"Técnicas Cuantitativas Avanzadas en el Ámbito Económico y Empresarial")</f>
        <v>0</v>
      </c>
      <c r="BB177" s="19">
        <f>SUMIFS( E4:E1440, N4:N1440,"2018", D4:D1440,"Técnicas Cuantitativas Avanzadas en el Ámbito Económico y Empresarial")</f>
        <v>0</v>
      </c>
      <c r="BC177" s="5">
        <f>SUMIFS( E4:E1440, N4:N1440,"2019", D4:D1440,"Técnicas Cuantitativas Avanzadas en el Ámbito Económico y Empresarial")</f>
        <v>5</v>
      </c>
      <c r="BD177" s="5">
        <f>SUMIFS( E4:E1440, N4:N1440,"2020", D4:D1440,"Técnicas Cuantitativas Avanzadas en el Ámbito Económico y Empresarial")</f>
        <v>5</v>
      </c>
      <c r="BE177" s="5">
        <f>SUMIFS( E4:E1440, N4:N1440,"2021", D4:D1440,"Técnicas Cuantitativas Avanzadas en el Ámbito Económico y Empresarial")</f>
        <v>5</v>
      </c>
      <c r="BF177" s="5">
        <f>SUMIFS( E4:E1440, N4:N1440,"2022", D4:D1440,"Técnicas Cuantitativas Avanzadas en el Ámbito Económico y Empresarial")</f>
        <v>0</v>
      </c>
      <c r="BG177" s="14">
        <f>AVERAGEIFS( E4:E1440, D4:D1440,"Técnicas Cuantitativas Avanzadas en el Ámbito Económico y Empresarial")</f>
        <v>3</v>
      </c>
      <c r="BH177" s="14">
        <v>0</v>
      </c>
      <c r="BI177" s="14">
        <v>0</v>
      </c>
      <c r="BJ177" s="14">
        <v>0</v>
      </c>
      <c r="BK177" s="14">
        <f>AVERAGEIFS( E4:E1440, A4:A1440,"2021", D4:D1440,"Técnicas Cuantitativas Avanzadas en el Ámbito Económico y Empresarial")</f>
        <v>2</v>
      </c>
      <c r="BL177" s="37">
        <v>0</v>
      </c>
      <c r="BM177" s="14">
        <v>2</v>
      </c>
      <c r="BN177" s="14">
        <v>0</v>
      </c>
      <c r="BO177" s="14">
        <v>0</v>
      </c>
      <c r="BP177" s="14">
        <v>0</v>
      </c>
      <c r="BQ177" s="14">
        <v>2</v>
      </c>
      <c r="BR177" s="14">
        <v>0</v>
      </c>
    </row>
    <row r="178" spans="1:70" ht="15" customHeight="1">
      <c r="A178" s="24">
        <v>2018</v>
      </c>
      <c r="B178" s="24" t="s">
        <v>78</v>
      </c>
      <c r="C178" s="24" t="s">
        <v>80</v>
      </c>
      <c r="D178" s="24" t="s">
        <v>81</v>
      </c>
      <c r="E178" s="23">
        <v>4</v>
      </c>
      <c r="F178" s="24" t="s">
        <v>207</v>
      </c>
      <c r="G178" s="24" t="s">
        <v>225</v>
      </c>
      <c r="H178" s="23" t="s">
        <v>226</v>
      </c>
      <c r="I178" s="24" t="s">
        <v>226</v>
      </c>
      <c r="J178" s="23" t="s">
        <v>226</v>
      </c>
      <c r="K178" s="24" t="s">
        <v>226</v>
      </c>
      <c r="L178" s="23"/>
      <c r="M178" s="26" t="s">
        <v>317</v>
      </c>
      <c r="N178" s="24">
        <v>2019</v>
      </c>
      <c r="O178" s="40" t="s">
        <v>71</v>
      </c>
      <c r="P178" s="43"/>
      <c r="Q178" s="43"/>
      <c r="R178" s="43"/>
      <c r="S178" s="43"/>
      <c r="T178" s="44"/>
      <c r="U178" s="4">
        <f>COUNTIFS(   C4:C1440,"Ciencias Jurídicas")</f>
        <v>39</v>
      </c>
      <c r="V178" s="4">
        <f>COUNTIFS(   C4:C1440,"Ciencias Jurídicas",F4:F1440,"Hombre")</f>
        <v>24</v>
      </c>
      <c r="W178" s="4">
        <f>COUNTIFS(   C4:C1440,"Ciencias Jurídicas",F4:F1440,"Mujer")</f>
        <v>15</v>
      </c>
      <c r="X178" s="18">
        <f>COUNTIFS(   A4:A1440,"2018", C4:C1440,"Ciencias Jurídicas")</f>
        <v>14</v>
      </c>
      <c r="Y178" s="4">
        <f>COUNTIFS(   A4:A1440,"2019", C4:C1440,"Ciencias Jurídicas")</f>
        <v>5</v>
      </c>
      <c r="Z178" s="4">
        <f>COUNTIFS(   A4:A1440,"2020", C4:C1440,"Ciencias Jurídicas")</f>
        <v>9</v>
      </c>
      <c r="AA178" s="4">
        <f>COUNTIFS(   A4:A1440,"2021", C4:C1440,"Ciencias Jurídicas")</f>
        <v>11</v>
      </c>
      <c r="AB178" s="4">
        <f>COUNTIFS(   A4:A1440,"2022", C4:C1440,"Ciencias Jurídicas")</f>
        <v>0</v>
      </c>
      <c r="AC178" s="18">
        <f>COUNTIFS(   N4:N1440,"2018", C4:C1440,"Ciencias Jurídicas")</f>
        <v>3</v>
      </c>
      <c r="AD178" s="4">
        <f>COUNTIFS(   N4:N1440,"2019", C4:C1440,"Ciencias Jurídicas")</f>
        <v>13</v>
      </c>
      <c r="AE178" s="4">
        <f>COUNTIFS(   N4:N1440,"2020", C4:C1440,"Ciencias Jurídicas")</f>
        <v>5</v>
      </c>
      <c r="AF178" s="4">
        <f>COUNTIFS(   N4:N1440,"2021", C4:C1440,"Ciencias Jurídicas")</f>
        <v>11</v>
      </c>
      <c r="AG178" s="4">
        <f>COUNTIFS(   N4:N1440,"2022", C4:C1440,"Ciencias Jurídicas")</f>
        <v>7</v>
      </c>
      <c r="AH178" s="4">
        <f>COUNTIFS(   C4:C1440,"Ciencias Jurídicas",G4:G1440,"Sí")</f>
        <v>6</v>
      </c>
      <c r="AI178" s="4">
        <f>COUNTIFS(   C4:C1440,"Ciencias Jurídicas",G4:G1440,"No")</f>
        <v>33</v>
      </c>
      <c r="AJ178" s="4">
        <f>SUMIFS( E4:E1440, C4:C1440,"Ciencias Jurídicas",G4:G1440,"Sí")</f>
        <v>41</v>
      </c>
      <c r="AK178" s="4">
        <f>SUMIFS( E4:E1440, C4:C1440,"Ciencias Jurídicas",G4:G1440,"No")</f>
        <v>175</v>
      </c>
      <c r="AL178" s="4">
        <f>COUNTIFS(   C4:C1440,"Ciencias Jurídicas",H4:H1440,"Sí")</f>
        <v>18</v>
      </c>
      <c r="AM178" s="4">
        <f>COUNTIFS(   C4:C1440,"Ciencias Jurídicas",I4:I1440,"Sí")</f>
        <v>9</v>
      </c>
      <c r="AN178" s="4">
        <f>COUNTIFS(   C4:C1440,"Ciencias Jurídicas",I4:I1440,"No")</f>
        <v>30</v>
      </c>
      <c r="AO178" s="4">
        <f>SUMIFS( E4:E1440, C4:C1440,"Ciencias Jurídicas",I4:I1440,"Sí")</f>
        <v>25</v>
      </c>
      <c r="AP178" s="4">
        <f>SUMIFS( E4:E1440, C4:C1440,"Ciencias Jurídicas",I4:I1440,"No")</f>
        <v>191</v>
      </c>
      <c r="AQ178" s="4">
        <f>COUNTIFS(   C4:C1440,"Ciencias Jurídicas",J4:J1440,"Sí")</f>
        <v>39</v>
      </c>
      <c r="AR178" s="4">
        <f>COUNTIFS(   C4:C1440,"Ciencias Jurídicas",K4:K1440,"Sí")</f>
        <v>13</v>
      </c>
      <c r="AS178" s="4">
        <f>COUNTIFS(   C4:C1440,"Ciencias Jurídicas",L4:L1440,"Sí")</f>
        <v>0</v>
      </c>
      <c r="AT178" s="4">
        <f>SUMIFS( E4:E1440, C4:C1440,"Ciencias Jurídicas")</f>
        <v>216</v>
      </c>
      <c r="AU178" s="4">
        <f>SUMIFS( E4:E1440, F4:F1440,"Hombre", C4:C1440,"Ciencias Jurídicas")</f>
        <v>184</v>
      </c>
      <c r="AV178" s="4">
        <f>SUMIFS( E4:E1440, F4:F1440,"Mujer", C4:C1440,"Ciencias Jurídicas")</f>
        <v>32</v>
      </c>
      <c r="AW178" s="18">
        <f>SUMIFS( E4:E1440, A4:A1440,"2018", C4:C1440,"Ciencias Jurídicas")</f>
        <v>57</v>
      </c>
      <c r="AX178" s="4">
        <f>SUMIFS( E4:E1440, A4:A1440,"2019", C4:C1440,"Ciencias Jurídicas")</f>
        <v>26</v>
      </c>
      <c r="AY178" s="4">
        <f>SUMIFS( E4:E1440, A4:A1440,"2020", C4:C1440,"Ciencias Jurídicas")</f>
        <v>48</v>
      </c>
      <c r="AZ178" s="4">
        <f>SUMIFS( E4:E1440, A4:A1440,"2021", C4:C1440,"Ciencias Jurídicas")</f>
        <v>85</v>
      </c>
      <c r="BA178" s="4">
        <f>SUMIFS( E4:E1440, A4:A1440,"2022", C4:C1440,"Ciencias Jurídicas")</f>
        <v>0</v>
      </c>
      <c r="BB178" s="18">
        <f>SUMIFS( E4:E1440, N4:N1440,"2018", C4:C1440,"Ciencias Jurídicas")</f>
        <v>41</v>
      </c>
      <c r="BC178" s="4">
        <f>SUMIFS( E4:E1440, N4:N1440,"2019", C4:C1440,"Ciencias Jurídicas")</f>
        <v>31</v>
      </c>
      <c r="BD178" s="4">
        <f>SUMIFS( E4:E1440, N4:N1440,"2020", C4:C1440,"Ciencias Jurídicas")</f>
        <v>15</v>
      </c>
      <c r="BE178" s="4">
        <f>SUMIFS( E4:E1440, N4:N1440,"2021", C4:C1440,"Ciencias Jurídicas")</f>
        <v>78</v>
      </c>
      <c r="BF178" s="4">
        <f>SUMIFS( E4:E1440, N4:N1440,"2022", C4:C1440,"Ciencias Jurídicas")</f>
        <v>51</v>
      </c>
      <c r="BG178" s="13">
        <f>AVERAGEIFS( E4:E1440, C4:C1440,"Ciencias Jurídicas")</f>
        <v>8.3076923076923084</v>
      </c>
      <c r="BH178" s="13">
        <v>0</v>
      </c>
      <c r="BI178" s="13">
        <v>0</v>
      </c>
      <c r="BJ178" s="13">
        <f>AVERAGEIFS( E4:E1440, A4:A1440,"2020", C4:C1440,"Ciencias Jurídicas")</f>
        <v>8</v>
      </c>
      <c r="BK178" s="13">
        <f>AVERAGEIFS( E4:E1440, A4:A1440,"2021", C4:C1440,"Ciencias Jurídicas")</f>
        <v>14.166666666666666</v>
      </c>
      <c r="BL178" s="37" t="e">
        <f>AVERAGEIFS( E4:E1440, A4:A1440,"2022", C4:C1440,"Ciencias Jurídicas")</f>
        <v>#DIV/0!</v>
      </c>
      <c r="BM178" s="13">
        <f>AVERAGE(AT179:AT188)</f>
        <v>21.1</v>
      </c>
      <c r="BN178" s="13">
        <v>0</v>
      </c>
      <c r="BO178" s="13">
        <v>0</v>
      </c>
      <c r="BP178" s="13">
        <f>AVERAGE(AY179:AY188)</f>
        <v>4.8</v>
      </c>
      <c r="BQ178" s="13">
        <f>AVERAGE(AZ179:AZ188)</f>
        <v>8.5</v>
      </c>
      <c r="BR178" s="13">
        <f>AVERAGE(BA179:BA188)</f>
        <v>0</v>
      </c>
    </row>
    <row r="179" spans="1:70" ht="15" customHeight="1">
      <c r="A179" s="24">
        <v>2018</v>
      </c>
      <c r="B179" s="24" t="s">
        <v>136</v>
      </c>
      <c r="C179" s="24" t="s">
        <v>137</v>
      </c>
      <c r="D179" s="24" t="s">
        <v>140</v>
      </c>
      <c r="E179" s="23"/>
      <c r="F179" s="24" t="s">
        <v>207</v>
      </c>
      <c r="G179" s="24" t="s">
        <v>225</v>
      </c>
      <c r="H179" s="23" t="s">
        <v>225</v>
      </c>
      <c r="I179" s="24" t="s">
        <v>225</v>
      </c>
      <c r="J179" s="23" t="s">
        <v>226</v>
      </c>
      <c r="K179" s="24" t="s">
        <v>226</v>
      </c>
      <c r="L179" s="23"/>
      <c r="M179" s="26" t="s">
        <v>317</v>
      </c>
      <c r="N179" s="24">
        <v>2019</v>
      </c>
      <c r="O179" s="67" t="s">
        <v>155</v>
      </c>
      <c r="P179" s="68"/>
      <c r="Q179" s="68"/>
      <c r="R179" s="68"/>
      <c r="S179" s="68"/>
      <c r="T179" s="69"/>
      <c r="U179" s="5">
        <f>COUNTIFS(   D4:D1440,"Criminalidad y Derecho")</f>
        <v>9</v>
      </c>
      <c r="V179" s="5">
        <f>COUNTIFS(   D4:D1440,"Criminalidad y Derecho",F4:F1440,"Hombre")</f>
        <v>5</v>
      </c>
      <c r="W179" s="5">
        <f>COUNTIFS(   D4:D1440,"Criminalidad y Derecho",F4:F1440,"Mujer")</f>
        <v>4</v>
      </c>
      <c r="X179" s="19">
        <f>COUNTIFS(   A4:A1440,"2018", D4:D1440,"Criminalidad y Derecho")</f>
        <v>3</v>
      </c>
      <c r="Y179" s="5">
        <f>COUNTIFS(   A4:A1440,"2019", D4:D1440,"Criminalidad y Derecho")</f>
        <v>2</v>
      </c>
      <c r="Z179" s="5">
        <f>COUNTIFS(   A4:A1440,"2020", D4:D1440,"Criminalidad y Derecho")</f>
        <v>0</v>
      </c>
      <c r="AA179" s="5">
        <f>COUNTIFS(   A4:A1440,"2021", D4:D1440,"Criminalidad y Derecho")</f>
        <v>4</v>
      </c>
      <c r="AB179" s="5">
        <f>COUNTIFS(  A4:A1440,"2022", D4:D1440,"Criminalidad y Derecho")</f>
        <v>0</v>
      </c>
      <c r="AC179" s="19">
        <f>COUNTIFS(   N4:N1440,"2018", D4:D1440,"Criminalidad y Derecho")</f>
        <v>1</v>
      </c>
      <c r="AD179" s="5">
        <f>COUNTIFS(   N4:N1440,"2019", D4:D1440,"Criminalidad y Derecho")</f>
        <v>3</v>
      </c>
      <c r="AE179" s="5">
        <f>COUNTIFS(   N4:N1440,"2020", D4:D1440,"Criminalidad y Derecho")</f>
        <v>1</v>
      </c>
      <c r="AF179" s="5">
        <f>COUNTIFS(   N4:N1440,"2021", D4:D1440,"Criminalidad y Derecho")</f>
        <v>2</v>
      </c>
      <c r="AG179" s="5">
        <f>COUNTIFS(   N4:N1440,"2022", D4:D1440,"Criminalidad y Derecho")</f>
        <v>2</v>
      </c>
      <c r="AH179" s="5">
        <f>COUNTIFS(   D4:D1440,"Criminalidad y Derecho",G4:G1440,"Sí")</f>
        <v>0</v>
      </c>
      <c r="AI179" s="5">
        <f>COUNTIFS(   D4:D1440,"Criminalidad y Derecho",G4:G1440,"No")</f>
        <v>9</v>
      </c>
      <c r="AJ179" s="5">
        <f>SUMIFS( E4:E1440, D4:D1440,"Criminalidad y Derecho",G4:G1440,"Sí")</f>
        <v>0</v>
      </c>
      <c r="AK179" s="5">
        <f>SUMIFS( E4:E1440, D4:D1440,"Criminalidad y Derecho",G4:G1440,"No")</f>
        <v>87</v>
      </c>
      <c r="AL179" s="5">
        <f>COUNTIFS(   D4:D1440,"Criminalidad y Derecho",H4:H1440,"Sí")</f>
        <v>6</v>
      </c>
      <c r="AM179" s="5">
        <f>COUNTIFS(   D4:D1440,"Criminalidad y Derecho",I4:I1440,"Sí")</f>
        <v>3</v>
      </c>
      <c r="AN179" s="5">
        <f>COUNTIFS(   D4:D1440,"Criminalidad y Derecho",I4:I1440,"No")</f>
        <v>6</v>
      </c>
      <c r="AO179" s="5">
        <f>SUMIFS( E4:E1440, D4:D1440,"Criminalidad y Derecho",I4:I1440,"Sí")</f>
        <v>8</v>
      </c>
      <c r="AP179" s="5">
        <f>SUMIFS( E4:E1440, D4:D1440,"Criminalidad y Derecho",I4:I1440,"No")</f>
        <v>79</v>
      </c>
      <c r="AQ179" s="5">
        <f>COUNTIFS(   D4:D1440,"Criminalidad y Derecho",J4:J1440,"Sí")</f>
        <v>9</v>
      </c>
      <c r="AR179" s="5">
        <f>COUNTIFS(   D4:D1440,"Criminalidad y Derecho",K4:K1440,"Sí")</f>
        <v>4</v>
      </c>
      <c r="AS179" s="5">
        <f>COUNTIFS(   D4:D1440,"Criminalidad y Derecho",L4:L1440,"Sí")</f>
        <v>0</v>
      </c>
      <c r="AT179" s="5">
        <f>SUMIFS( E4:E1440, D4:D1440,"Criminalidad y Derecho")</f>
        <v>87</v>
      </c>
      <c r="AU179" s="5">
        <f>SUMIFS( E4:E1440, F4:F1440,"Hombre", D4:D1440,"Criminalidad y Derecho")</f>
        <v>84</v>
      </c>
      <c r="AV179" s="5">
        <f>SUMIFS( E4:E1440, F4:F1440,"Mujer", D4:D1440,"Criminalidad y Derecho")</f>
        <v>3</v>
      </c>
      <c r="AW179" s="19">
        <f>SUMIFS( E4:E1440, A4:A1440,"2018", D4:D1440,"Criminalidad y Derecho")</f>
        <v>30</v>
      </c>
      <c r="AX179" s="5">
        <f>SUMIFS( E4:E1440, A4:A1440,"2019", D4:D1440,"Criminalidad y Derecho")</f>
        <v>2</v>
      </c>
      <c r="AY179" s="5">
        <f>SUMIFS( E4:E1440, A4:A1440,"2020", D4:D1440,"Criminalidad y Derecho")</f>
        <v>0</v>
      </c>
      <c r="AZ179" s="5">
        <f>SUMIFS( E4:E1440, A4:A1440,"2021", D4:D1440,"Criminalidad y Derecho")</f>
        <v>55</v>
      </c>
      <c r="BA179" s="5">
        <f>SUMIFS( E4:E1440, A4:A1440,"2022", D4:D1440,"Criminalidad y Derecho")</f>
        <v>0</v>
      </c>
      <c r="BB179" s="19">
        <f>SUMIFS( E4:E1440, N4:N1440,"2018", D4:D1440,"Criminalidad y Derecho")</f>
        <v>30</v>
      </c>
      <c r="BC179" s="5">
        <f>SUMIFS( E4:E1440, N4:N1440,"2019", D4:D1440,"Criminalidad y Derecho")</f>
        <v>1</v>
      </c>
      <c r="BD179" s="5">
        <f>SUMIFS( E4:E1440, N4:N1440,"2020", D4:D1440,"Criminalidad y Derecho")</f>
        <v>1</v>
      </c>
      <c r="BE179" s="5">
        <f>SUMIFS( E4:E1440, N4:N1440,"2021", D4:D1440,"Criminalidad y Derecho")</f>
        <v>7</v>
      </c>
      <c r="BF179" s="5">
        <f>SUMIFS( E4:E1440, N4:N1440,"2022", D4:D1440,"Criminalidad y Derecho")</f>
        <v>48</v>
      </c>
      <c r="BG179" s="14">
        <f>AVERAGEIFS( E4:E1440, D4:D1440,"Criminalidad y Derecho")</f>
        <v>14.5</v>
      </c>
      <c r="BH179" s="14">
        <v>0</v>
      </c>
      <c r="BI179" s="14">
        <v>0</v>
      </c>
      <c r="BJ179" s="14">
        <v>0</v>
      </c>
      <c r="BK179" s="14">
        <f>AVERAGEIFS( E4:E1440, A4:A1440,"2021", D4:D1440,"Criminalidad y Derecho")</f>
        <v>18.333333333333332</v>
      </c>
      <c r="BL179" s="37" t="e">
        <f>AVERAGEIFS( E4:E1440, A4:A1440,"2022", D4:D1440,"Criminalidad y Derecho")</f>
        <v>#DIV/0!</v>
      </c>
      <c r="BM179" s="14">
        <v>4</v>
      </c>
      <c r="BN179" s="14">
        <v>0</v>
      </c>
      <c r="BO179" s="14">
        <v>0</v>
      </c>
      <c r="BP179" s="14">
        <v>0</v>
      </c>
      <c r="BQ179" s="14">
        <v>1</v>
      </c>
      <c r="BR179" s="14">
        <v>7</v>
      </c>
    </row>
    <row r="180" spans="1:70" ht="15" customHeight="1">
      <c r="A180" s="24">
        <v>2018</v>
      </c>
      <c r="B180" s="24" t="s">
        <v>78</v>
      </c>
      <c r="C180" s="24" t="s">
        <v>88</v>
      </c>
      <c r="D180" s="24" t="s">
        <v>89</v>
      </c>
      <c r="E180" s="23">
        <v>3</v>
      </c>
      <c r="F180" s="24" t="s">
        <v>207</v>
      </c>
      <c r="G180" s="23" t="s">
        <v>226</v>
      </c>
      <c r="H180" s="23" t="s">
        <v>226</v>
      </c>
      <c r="I180" s="24" t="s">
        <v>225</v>
      </c>
      <c r="J180" s="23" t="s">
        <v>226</v>
      </c>
      <c r="K180" s="24" t="s">
        <v>225</v>
      </c>
      <c r="L180" s="23"/>
      <c r="M180" s="26" t="s">
        <v>317</v>
      </c>
      <c r="N180" s="24">
        <v>2019</v>
      </c>
      <c r="O180" s="67" t="s">
        <v>153</v>
      </c>
      <c r="P180" s="68"/>
      <c r="Q180" s="68"/>
      <c r="R180" s="68"/>
      <c r="S180" s="68"/>
      <c r="T180" s="69"/>
      <c r="U180" s="5">
        <f>COUNTIFS(   D4:D1440,"Derecho de la protección social pública y políticas sociales del Estado del Bienestar")</f>
        <v>5</v>
      </c>
      <c r="V180" s="5">
        <f>COUNTIFS(   D4:D1440,"Derecho de la protección social pública y políticas sociales del Estado del Bienestar",F4:F1440,"Hombre")</f>
        <v>2</v>
      </c>
      <c r="W180" s="5">
        <f>COUNTIFS(   D4:D1440,"Derecho de la protección social pública y políticas sociales del Estado del Bienestar",F4:F1440,"Mujer")</f>
        <v>3</v>
      </c>
      <c r="X180" s="19">
        <f>COUNTIFS(   A4:A1440,"2018", D4:D1440,"Derecho de la protección social pública y políticas sociales del Estado del Bienestar")</f>
        <v>2</v>
      </c>
      <c r="Y180" s="5">
        <f>COUNTIFS(   A4:A1440,"2019", D4:D1440,"Derecho de la protección social pública y políticas sociales del Estado del Bienestar")</f>
        <v>2</v>
      </c>
      <c r="Z180" s="5">
        <f>COUNTIFS(   A4:A1440,"2020", D4:D1440,"Derecho de la protección social pública y políticas sociales del Estado del Bienestar")</f>
        <v>1</v>
      </c>
      <c r="AA180" s="5">
        <f>COUNTIFS(   A4:A1440,"2021", D4:D1440,"Derecho de la protección social pública y políticas sociales del Estado del Bienestar")</f>
        <v>0</v>
      </c>
      <c r="AB180" s="5">
        <f>COUNTIFS(  A4:A1440,"2022", D4:D1440,"Derecho de la protección social pública y políticas sociales del Estado del Bienestar")</f>
        <v>0</v>
      </c>
      <c r="AC180" s="19">
        <f>COUNTIFS(   N4:N1440,"2018", D4:D1440,"Derecho de la protección social pública y políticas sociales del Estado del Bienestar")</f>
        <v>1</v>
      </c>
      <c r="AD180" s="5">
        <f>COUNTIFS(   N4:N1440,"2019", D4:D1440,"Derecho de la protección social pública y políticas sociales del Estado del Bienestar")</f>
        <v>2</v>
      </c>
      <c r="AE180" s="5">
        <f>COUNTIFS(   N4:N1440,"2020", D4:D1440,"Derecho de la protección social pública y políticas sociales del Estado del Bienestar")</f>
        <v>1</v>
      </c>
      <c r="AF180" s="5">
        <f>COUNTIFS(   N4:N1440,"2021", D4:D1440,"Derecho de la protección social pública y políticas sociales del Estado del Bienestar")</f>
        <v>1</v>
      </c>
      <c r="AG180" s="5">
        <f>COUNTIFS(   N4:N1440,"2022", D4:D1440,"Derecho de la protección social pública y políticas sociales del Estado del Bienestar")</f>
        <v>0</v>
      </c>
      <c r="AH180" s="5">
        <f>COUNTIFS(   D4:D1440,"Derecho de la protección social pública y políticas sociales del Estado del Bienestar",G4:G1440,"Sí")</f>
        <v>0</v>
      </c>
      <c r="AI180" s="5">
        <f>COUNTIFS(   D4:D1440,"Derecho de la protección social pública y políticas sociales del Estado del Bienestar",G4:G1440,"No")</f>
        <v>5</v>
      </c>
      <c r="AJ180" s="5">
        <f>SUMIFS( E4:E1440, D4:D1440,"Derecho de la protección social pública y políticas sociales del Estado del Bienestar",G4:G1440,"Sí")</f>
        <v>0</v>
      </c>
      <c r="AK180" s="5">
        <f>SUMIFS( E4:E1440, D4:D1440,"Derecho de la protección social pública y políticas sociales del Estado del Bienestar",G4:G1440,"No")</f>
        <v>34</v>
      </c>
      <c r="AL180" s="5">
        <f>COUNTIFS(   D4:D1440,"Derecho de la protección social pública y políticas sociales del Estado del Bienestar",H4:H1440,"Sí")</f>
        <v>2</v>
      </c>
      <c r="AM180" s="5">
        <f>COUNTIFS(   D4:D1440,"Derecho de la protección social pública y políticas sociales del Estado del Bienestar",I4:I1440,"Sí")</f>
        <v>2</v>
      </c>
      <c r="AN180" s="5">
        <f>COUNTIFS(   D4:D1440,"Derecho de la protección social pública y políticas sociales del Estado del Bienestar",I4:I1440,"No")</f>
        <v>3</v>
      </c>
      <c r="AO180" s="5">
        <f>SUMIFS( E4:E1440, D4:D1440,"Derecho de la protección social pública y políticas sociales del Estado del Bienestar",I4:I1440,"Sí")</f>
        <v>13</v>
      </c>
      <c r="AP180" s="5">
        <f>SUMIFS( E4:E1440, D4:D1440,"Derecho de la protección social pública y políticas sociales del Estado del Bienestar",I4:I1440,"No")</f>
        <v>21</v>
      </c>
      <c r="AQ180" s="5">
        <f>COUNTIFS(   D4:D1440,"Derecho de la protección social pública y políticas sociales del Estado del Bienestar",J4:J1440,"Sí")</f>
        <v>5</v>
      </c>
      <c r="AR180" s="5">
        <f>COUNTIFS(   D4:D1440,"Derecho de la protección social pública y políticas sociales del Estado del Bienestar",K4:K1440,"Sí")</f>
        <v>2</v>
      </c>
      <c r="AS180" s="5">
        <f>COUNTIFS(   D4:D1440,"Derecho de la protección social pública y políticas sociales del Estado del Bienestar",L4:L1440,"Sí")</f>
        <v>0</v>
      </c>
      <c r="AT180" s="5">
        <f>SUMIFS( E4:E1440, D4:D1440,"Derecho de la protección social pública y políticas sociales del Estado del Bienestar")</f>
        <v>34</v>
      </c>
      <c r="AU180" s="5">
        <f>SUMIFS( E4:E1440, F4:F1440,"Hombre", D4:D1440,"Derecho de la protección social pública y políticas sociales del Estado del Bienestar")</f>
        <v>14</v>
      </c>
      <c r="AV180" s="5">
        <f>SUMIFS( E4:E1440, F4:F1440,"Mujer", D4:D1440,"Derecho de la protección social pública y políticas sociales del Estado del Bienestar")</f>
        <v>20</v>
      </c>
      <c r="AW180" s="19">
        <f>SUMIFS( E4:E1440, A4:A1440,"2018", D4:D1440,"Derecho de la protección social pública y políticas sociales del Estado del Bienestar")</f>
        <v>14</v>
      </c>
      <c r="AX180" s="5">
        <f>SUMIFS( E4:E1440, A4:A1440,"2019", D4:D1440,"Derecho de la protección social pública y políticas sociales del Estado del Bienestar")</f>
        <v>20</v>
      </c>
      <c r="AY180" s="5">
        <f>SUMIFS( E4:E1440, A4:A1440,"2020", D4:D1440,"Derecho de la protección social pública y políticas sociales del Estado del Bienestar")</f>
        <v>0</v>
      </c>
      <c r="AZ180" s="5">
        <f>SUMIFS( E4:E1440, A4:A1440,"2021", D4:D1440,"Derecho de la protección social pública y políticas sociales del Estado del Bienestar")</f>
        <v>0</v>
      </c>
      <c r="BA180" s="5">
        <f>SUMIFS( E4:E1440, A4:A1440,"2022", D4:D1440,"Derecho de la protección social pública y políticas sociales del Estado del Bienestar")</f>
        <v>0</v>
      </c>
      <c r="BB180" s="19">
        <f>SUMIFS( E4:E1440, N4:N1440,"2018", D4:D1440,"Derecho de la protección social pública y políticas sociales del Estado del Bienestar")</f>
        <v>7</v>
      </c>
      <c r="BC180" s="5">
        <f>SUMIFS( E4:E1440, N4:N1440,"2019", D4:D1440,"Derecho de la protección social pública y políticas sociales del Estado del Bienestar")</f>
        <v>21</v>
      </c>
      <c r="BD180" s="5">
        <f>SUMIFS( E4:E1440, N4:N1440,"2020", D4:D1440,"Derecho de la protección social pública y políticas sociales del Estado del Bienestar")</f>
        <v>6</v>
      </c>
      <c r="BE180" s="5">
        <f>SUMIFS( E4:E1440, N4:N1440,"2021", D4:D1440,"Derecho de la protección social pública y políticas sociales del Estado del Bienestar")</f>
        <v>0</v>
      </c>
      <c r="BF180" s="5">
        <f>SUMIFS( E4:E1440, N4:N1440,"2022", D4:D1440,"Derecho de la protección social pública y políticas sociales del Estado del Bienestar")</f>
        <v>0</v>
      </c>
      <c r="BG180" s="14">
        <f>AVERAGEIFS( E4:E1440, D4:D1440,"Derecho de la protección social pública y políticas sociales del Estado del Bienestar")</f>
        <v>8.5</v>
      </c>
      <c r="BH180" s="14">
        <v>0</v>
      </c>
      <c r="BI180" s="14">
        <v>0</v>
      </c>
      <c r="BJ180" s="14">
        <v>0</v>
      </c>
      <c r="BK180" s="14" t="e">
        <f>AVERAGEIFS( E4:E1440, A4:A1440,"2021", D4:D1440,"Derecho de la protección social pública y políticas sociales del Estado del Bienestar")</f>
        <v>#DIV/0!</v>
      </c>
      <c r="BL180" s="37" t="e">
        <f>AVERAGEIFS( E4:E1440, A4:A1440,"2022", D4:D1440,"Derecho de la protección social pública y políticas sociales del Estado del Bienestar")</f>
        <v>#DIV/0!</v>
      </c>
      <c r="BM180" s="14">
        <v>4.5</v>
      </c>
      <c r="BN180" s="14">
        <v>0</v>
      </c>
      <c r="BO180" s="14">
        <v>0</v>
      </c>
      <c r="BP180" s="14">
        <v>0</v>
      </c>
      <c r="BQ180" s="14">
        <v>9</v>
      </c>
      <c r="BR180" s="14">
        <v>0</v>
      </c>
    </row>
    <row r="181" spans="1:70" ht="15" customHeight="1">
      <c r="A181" s="24">
        <v>2018</v>
      </c>
      <c r="B181" s="24" t="s">
        <v>136</v>
      </c>
      <c r="C181" s="24" t="s">
        <v>176</v>
      </c>
      <c r="D181" s="24"/>
      <c r="E181" s="23">
        <v>10</v>
      </c>
      <c r="F181" s="24" t="s">
        <v>207</v>
      </c>
      <c r="G181" s="24" t="s">
        <v>225</v>
      </c>
      <c r="H181" s="23" t="s">
        <v>226</v>
      </c>
      <c r="I181" s="24" t="s">
        <v>226</v>
      </c>
      <c r="J181" s="23" t="s">
        <v>226</v>
      </c>
      <c r="K181" s="24" t="s">
        <v>226</v>
      </c>
      <c r="L181" s="23"/>
      <c r="M181" s="26" t="s">
        <v>318</v>
      </c>
      <c r="N181" s="24">
        <v>2019</v>
      </c>
      <c r="O181" s="67" t="s">
        <v>158</v>
      </c>
      <c r="P181" s="68"/>
      <c r="Q181" s="68"/>
      <c r="R181" s="68"/>
      <c r="S181" s="68"/>
      <c r="T181" s="69"/>
      <c r="U181" s="5">
        <f>COUNTIFS(   D4:D1440,"Derecho del Consumo")</f>
        <v>1</v>
      </c>
      <c r="V181" s="5">
        <f>COUNTIFS(   D4:D1440,"Derecho del Consumo",F4:F1440,"Hombre")</f>
        <v>1</v>
      </c>
      <c r="W181" s="5">
        <f>COUNTIFS(   D4:D1440,"Derecho del Consumo",F4:F1440,"Mujer")</f>
        <v>0</v>
      </c>
      <c r="X181" s="19">
        <f>COUNTIFS(   A4:A1440,"2018", D4:D1440,"Derecho del Consumo")</f>
        <v>1</v>
      </c>
      <c r="Y181" s="5">
        <f>COUNTIFS(   A4:A1440,"2019", D4:D1440,"Derecho del Consumo")</f>
        <v>0</v>
      </c>
      <c r="Z181" s="5">
        <f>COUNTIFS(   A4:A1440,"2020", D4:D1440,"Derecho del Consumo")</f>
        <v>0</v>
      </c>
      <c r="AA181" s="5">
        <f>COUNTIFS(   A4:A1440,"2021", D4:D1440,"Derecho del Consumo")</f>
        <v>0</v>
      </c>
      <c r="AB181" s="5">
        <f>COUNTIFS(  A4:A1440,"2022", D4:D1440,"Derecho del Consumo")</f>
        <v>0</v>
      </c>
      <c r="AC181" s="19">
        <f>COUNTIFS(   N4:N1440,"2018", D4:D1440,"Derecho del Consumo")</f>
        <v>0</v>
      </c>
      <c r="AD181" s="5">
        <f>COUNTIFS(   N4:N1440,"2019", D4:D1440,"Derecho del Consumo")</f>
        <v>1</v>
      </c>
      <c r="AE181" s="5">
        <f>COUNTIFS(   N4:N1440,"2020", D4:D1440,"Derecho del Consumo")</f>
        <v>0</v>
      </c>
      <c r="AF181" s="5">
        <f>COUNTIFS(   N4:N1440,"2021", D4:D1440,"Derecho del Consumo")</f>
        <v>0</v>
      </c>
      <c r="AG181" s="5">
        <f>COUNTIFS(   N4:N1440,"2022", D4:D1440,"Derecho del Consumo")</f>
        <v>0</v>
      </c>
      <c r="AH181" s="5">
        <f>COUNTIFS(   D4:D1440,"Derecho del Consumo",G4:G1440,"Sí")</f>
        <v>0</v>
      </c>
      <c r="AI181" s="5">
        <f>COUNTIFS(   D4:D1440,"Derecho del Consumo",G4:G1440,"No")</f>
        <v>1</v>
      </c>
      <c r="AJ181" s="5">
        <f>SUMIFS( E4:E1440, D4:D1440,"Derecho del Consumo",G4:G1440,"Sí")</f>
        <v>0</v>
      </c>
      <c r="AK181" s="5">
        <f>SUMIFS( E4:E1440, D4:D1440,"Derecho del Consumo",G4:G1440,"No")</f>
        <v>3</v>
      </c>
      <c r="AL181" s="5">
        <f>COUNTIFS(   D4:D1440,"Derecho del Consumo",H4:H1440,"Sí")</f>
        <v>1</v>
      </c>
      <c r="AM181" s="5">
        <f>COUNTIFS(   D4:D1440,"Derecho del Consumo",I4:I1440,"Sí")</f>
        <v>0</v>
      </c>
      <c r="AN181" s="5">
        <f>COUNTIFS(   D4:D1440,"Derecho del Consumo",I4:I1440,"No")</f>
        <v>1</v>
      </c>
      <c r="AO181" s="5">
        <f>SUMIFS( E4:E1440, D4:D1440,"Derecho del Consumo",I4:I1440,"Sí")</f>
        <v>0</v>
      </c>
      <c r="AP181" s="5">
        <f>SUMIFS( E4:E1440, D4:D1440,"Derecho del Consumo",I4:I1440,"No")</f>
        <v>3</v>
      </c>
      <c r="AQ181" s="5">
        <f>COUNTIFS(   D4:D1440,"Derecho del Consumo",J4:J1440,"Sí")</f>
        <v>1</v>
      </c>
      <c r="AR181" s="5">
        <f>COUNTIFS(   D4:D1440,"Derecho del Consumo",K4:K1440,"Sí")</f>
        <v>1</v>
      </c>
      <c r="AS181" s="5">
        <f>COUNTIFS(   D4:D1440,"Derecho del Consumo",L4:L1440,"Sí")</f>
        <v>0</v>
      </c>
      <c r="AT181" s="5">
        <f>SUMIFS( E4:E1440, D4:D1440,"Derecho del Consumo")</f>
        <v>3</v>
      </c>
      <c r="AU181" s="5">
        <f>SUMIFS( E4:E1440, F4:F1440,"Hombre", D4:D1440,"Derecho del Consumo")</f>
        <v>3</v>
      </c>
      <c r="AV181" s="5">
        <f>SUMIFS( E4:E1440, F4:F1440,"Mujer", D4:D1440,"Derecho del Consumo")</f>
        <v>0</v>
      </c>
      <c r="AW181" s="19">
        <f>SUMIFS( E4:E1440, A4:A1440,"2018", D4:D1440,"Derecho del Consumo")</f>
        <v>3</v>
      </c>
      <c r="AX181" s="5">
        <f>SUMIFS( E4:E1440, A4:A1440,"2019", D4:D1440,"Derecho del Consumo")</f>
        <v>0</v>
      </c>
      <c r="AY181" s="5">
        <f>SUMIFS( E4:E1440, A4:A1440,"2020", D4:D1440,"Derecho del Consumo")</f>
        <v>0</v>
      </c>
      <c r="AZ181" s="5">
        <f>SUMIFS( E4:E1440, A4:A1440,"2021", D4:D1440,"Derecho del Consumo")</f>
        <v>0</v>
      </c>
      <c r="BA181" s="5">
        <f>SUMIFS( E4:E1440, A4:A1440,"2022", D4:D1440,"Derecho del Consumo")</f>
        <v>0</v>
      </c>
      <c r="BB181" s="19">
        <f>SUMIFS( E4:E1440, N4:N1440,"2018", D4:D1440,"Derecho del Consumo")</f>
        <v>0</v>
      </c>
      <c r="BC181" s="5">
        <f>SUMIFS( E4:E1440, N4:N1440,"2019", D4:D1440,"Derecho del Consumo")</f>
        <v>3</v>
      </c>
      <c r="BD181" s="5">
        <f>SUMIFS( E4:E1440, N4:N1440,"2020", D4:D1440,"Derecho del Consumo")</f>
        <v>0</v>
      </c>
      <c r="BE181" s="5">
        <f>SUMIFS( E4:E1440, N4:N1440,"2021", D4:D1440,"Derecho del Consumo")</f>
        <v>0</v>
      </c>
      <c r="BF181" s="5">
        <f>SUMIFS( E4:E1440, N4:N1440,"2022", D4:D1440,"Derecho del Consumo")</f>
        <v>0</v>
      </c>
      <c r="BG181" s="14">
        <f>AVERAGEIFS( E4:E1440, D4:D1440,"Derecho del Consumo")</f>
        <v>3</v>
      </c>
      <c r="BH181" s="14">
        <v>0</v>
      </c>
      <c r="BI181" s="14">
        <v>0</v>
      </c>
      <c r="BJ181" s="14">
        <v>0</v>
      </c>
      <c r="BK181" s="14" t="e">
        <f>AVERAGEIFS( E4:E1440, A4:A1440,"2021", D4:D1440,"Derecho del Consumo")</f>
        <v>#DIV/0!</v>
      </c>
      <c r="BL181" s="37" t="e">
        <f>AVERAGEIFS( E5:E452, A5:A452,"2022", D5:D452,"Derecho de la protección social pública y políticas sociales del Estado del Bienestar")</f>
        <v>#DIV/0!</v>
      </c>
      <c r="BM181" s="14">
        <v>2</v>
      </c>
      <c r="BN181" s="14">
        <v>0</v>
      </c>
      <c r="BO181" s="14">
        <v>0</v>
      </c>
      <c r="BP181" s="14">
        <v>0</v>
      </c>
      <c r="BQ181" s="14">
        <v>2</v>
      </c>
      <c r="BR181" s="14">
        <v>0</v>
      </c>
    </row>
    <row r="182" spans="1:70" ht="15" customHeight="1">
      <c r="A182" s="24">
        <v>2018</v>
      </c>
      <c r="B182" s="24" t="s">
        <v>78</v>
      </c>
      <c r="C182" s="24" t="s">
        <v>80</v>
      </c>
      <c r="D182" s="24" t="s">
        <v>84</v>
      </c>
      <c r="E182" s="23">
        <v>4</v>
      </c>
      <c r="F182" s="24" t="s">
        <v>211</v>
      </c>
      <c r="G182" s="24" t="s">
        <v>225</v>
      </c>
      <c r="H182" s="23" t="s">
        <v>226</v>
      </c>
      <c r="I182" s="24" t="s">
        <v>225</v>
      </c>
      <c r="J182" s="23" t="s">
        <v>226</v>
      </c>
      <c r="K182" s="24" t="s">
        <v>226</v>
      </c>
      <c r="L182" s="23"/>
      <c r="M182" s="26" t="s">
        <v>318</v>
      </c>
      <c r="N182" s="24">
        <v>2019</v>
      </c>
      <c r="O182" s="67" t="s">
        <v>157</v>
      </c>
      <c r="P182" s="68"/>
      <c r="Q182" s="68"/>
      <c r="R182" s="68"/>
      <c r="S182" s="68"/>
      <c r="T182" s="69"/>
      <c r="U182" s="5">
        <f>COUNTIFS(   D4:D1440,"Derecho Económico, de los negocios y de la empresa")</f>
        <v>5</v>
      </c>
      <c r="V182" s="5">
        <f>COUNTIFS(   D4:D1440,"Derecho Económico, de los negocios y de la empresa",F4:F1440,"Hombre")</f>
        <v>4</v>
      </c>
      <c r="W182" s="5">
        <f>COUNTIFS(   D4:D1440,"Derecho Económico, de los negocios y de la empresa",F4:F1440,"Mujer")</f>
        <v>1</v>
      </c>
      <c r="X182" s="19">
        <f>COUNTIFS(   A4:A1440,"2018", D4:D1440,"Derecho Económico, de los negocios y de la empresa")</f>
        <v>0</v>
      </c>
      <c r="Y182" s="5">
        <f>COUNTIFS(   A4:A1440,"2019", D4:D1440,"Derecho Económico, de los negocios y de la empresa")</f>
        <v>1</v>
      </c>
      <c r="Z182" s="5">
        <f>COUNTIFS(   A4:A1440,"2020", D4:D1440,"Derecho Económico, de los negocios y de la empresa")</f>
        <v>2</v>
      </c>
      <c r="AA182" s="5">
        <f>COUNTIFS(   A4:A1440,"2021", D4:D1440,"Derecho Económico, de los negocios y de la empresa")</f>
        <v>2</v>
      </c>
      <c r="AB182" s="5">
        <f>COUNTIFS(  A4:A1440,"2022", D4:D1440,"Derecho Económico, de los negocios y de la empresa")</f>
        <v>0</v>
      </c>
      <c r="AC182" s="19">
        <f>COUNTIFS(   N4:N1440,"2018", D4:D1440,"Derecho Económico, de los negocios y de la empresa")</f>
        <v>0</v>
      </c>
      <c r="AD182" s="5">
        <f>COUNTIFS(   N4:N1440,"2019", D4:D1440,"Derecho Económico, de los negocios y de la empresa")</f>
        <v>0</v>
      </c>
      <c r="AE182" s="5">
        <f>COUNTIFS(   N4:N1440,"2020", D4:D1440,"Derecho Económico, de los negocios y de la empresa")</f>
        <v>2</v>
      </c>
      <c r="AF182" s="5">
        <f>COUNTIFS(   N4:N1440,"2021", D4:D1440,"Derecho Económico, de los negocios y de la empresa")</f>
        <v>1</v>
      </c>
      <c r="AG182" s="5">
        <f>COUNTIFS(   N4:N1440,"2022", D4:D1440,"Derecho Económico, de los negocios y de la empresa")</f>
        <v>2</v>
      </c>
      <c r="AH182" s="5">
        <f>COUNTIFS(   D4:D1440,"Derecho Económico, de los negocios y de la empresa",G4:G1440,"Sí")</f>
        <v>0</v>
      </c>
      <c r="AI182" s="5">
        <f>COUNTIFS(   D4:D1440,"Derecho Económico, de los negocios y de la empresa",G4:G1440,"No")</f>
        <v>5</v>
      </c>
      <c r="AJ182" s="5">
        <f>SUMIFS( E4:E1440, D4:D1440,"Derecho Económico, de los negocios y de la empresa",G4:G1440,"Sí")</f>
        <v>0</v>
      </c>
      <c r="AK182" s="5">
        <f>SUMIFS( E4:E1440, D4:D1440,"Derecho Económico, de los negocios y de la empresa",G4:G1440,"No")</f>
        <v>10</v>
      </c>
      <c r="AL182" s="5">
        <f>COUNTIFS(   D4:D1440,"Derecho Económico, de los negocios y de la empresa",H4:H1440,"Sí")</f>
        <v>1</v>
      </c>
      <c r="AM182" s="5">
        <f>COUNTIFS(   D4:D1440,"Derecho Económico, de los negocios y de la empresa",I4:I1440,"Sí")</f>
        <v>1</v>
      </c>
      <c r="AN182" s="5">
        <f>COUNTIFS(   D4:D1440,"Derecho Económico, de los negocios y de la empresa",I4:I1440,"No")</f>
        <v>4</v>
      </c>
      <c r="AO182" s="5">
        <f>SUMIFS( E4:E1440, D4:D1440,"Derecho Económico, de los negocios y de la empresa",I4:I1440,"Sí")</f>
        <v>0</v>
      </c>
      <c r="AP182" s="5">
        <f>SUMIFS( E4:E1440, D4:D1440,"Derecho Económico, de los negocios y de la empresa",I4:I1440,"No")</f>
        <v>10</v>
      </c>
      <c r="AQ182" s="5">
        <f>COUNTIFS(   D4:D1440,"Derecho Económico, de los negocios y de la empresa",J4:J1440,"Sí")</f>
        <v>5</v>
      </c>
      <c r="AR182" s="5">
        <f>COUNTIFS(   D4:D1440,"Derecho Económico, de los negocios y de la empresa",K4:K1440,"Sí")</f>
        <v>0</v>
      </c>
      <c r="AS182" s="5">
        <f>COUNTIFS(   D4:D1440,"Derecho Económico, de los negocios y de la empresa",L4:L1440,"Sí")</f>
        <v>0</v>
      </c>
      <c r="AT182" s="5">
        <f>SUMIFS( E4:E1440, D4:D1440,"Derecho Económico, de los negocios y de la empresa")</f>
        <v>10</v>
      </c>
      <c r="AU182" s="5">
        <f>SUMIFS( E4:E1440, F4:F1440,"Hombre", D4:D1440,"Derecho Económico, de los negocios y de la empresa")</f>
        <v>10</v>
      </c>
      <c r="AV182" s="5">
        <f>SUMIFS( E4:E1440, F4:F1440,"Mujer", D4:D1440,"Derecho Económico, de los negocios y de la empresa")</f>
        <v>0</v>
      </c>
      <c r="AW182" s="19">
        <f>SUMIFS( E4:E1440, A4:A1440,"2018", D4:D1440,"Derecho Económico, de los negocios y de la empresa")</f>
        <v>0</v>
      </c>
      <c r="AX182" s="5">
        <f>SUMIFS( E4:E1440, A4:A1440,"2019", D4:D1440,"Derecho Económico, de los negocios y de la empresa")</f>
        <v>4</v>
      </c>
      <c r="AY182" s="5">
        <f>SUMIFS( E4:E1440, A4:A1440,"2020", D4:D1440,"Derecho Económico, de los negocios y de la empresa")</f>
        <v>4</v>
      </c>
      <c r="AZ182" s="5">
        <f>SUMIFS( E4:E1440, A4:A1440,"2021", D4:D1440,"Derecho Económico, de los negocios y de la empresa")</f>
        <v>2</v>
      </c>
      <c r="BA182" s="5">
        <f>SUMIFS( E4:E1440, A4:A1440,"2022", D4:D1440,"Derecho Económico, de los negocios y de la empresa")</f>
        <v>0</v>
      </c>
      <c r="BB182" s="19">
        <f>SUMIFS( E4:E1440, N4:N1440,"2018", D4:D1440,"Derecho Económico, de los negocios y de la empresa")</f>
        <v>0</v>
      </c>
      <c r="BC182" s="5">
        <f>SUMIFS( E4:E1440, N4:N1440,"2019", D4:D1440,"Derecho Económico, de los negocios y de la empresa")</f>
        <v>0</v>
      </c>
      <c r="BD182" s="5">
        <f>SUMIFS( E4:E1440, N4:N1440,"2020", D4:D1440,"Derecho Económico, de los negocios y de la empresa")</f>
        <v>8</v>
      </c>
      <c r="BE182" s="5">
        <f>SUMIFS( E4:E1440, N4:N1440,"2021", D4:D1440,"Derecho Económico, de los negocios y de la empresa")</f>
        <v>0</v>
      </c>
      <c r="BF182" s="5">
        <f>SUMIFS( E4:E1440, N4:N1440,"2022", D4:D1440,"Derecho Económico, de los negocios y de la empresa")</f>
        <v>2</v>
      </c>
      <c r="BG182" s="14">
        <f>AVERAGEIFS( E4:E1440, D4:D1440,"Derecho Económico, de los negocios y de la empresa")</f>
        <v>3.3333333333333335</v>
      </c>
      <c r="BH182" s="14">
        <v>0</v>
      </c>
      <c r="BI182" s="14">
        <v>0</v>
      </c>
      <c r="BJ182" s="14">
        <v>0</v>
      </c>
      <c r="BK182" s="14">
        <f>AVERAGEIFS( E4:E1440, A4:A1440,"2021", D4:D1440,"Derecho Económico, de los negocios y de la empresa")</f>
        <v>2</v>
      </c>
      <c r="BL182" s="37" t="e">
        <f>AVERAGEIFS( E4:E1440, A4:A1440,"2022", D4:D1440,"Derecho Económico, de los negocios y de la empresa")</f>
        <v>#DIV/0!</v>
      </c>
      <c r="BM182" s="14">
        <v>6.6</v>
      </c>
      <c r="BN182" s="14">
        <v>0</v>
      </c>
      <c r="BO182" s="14">
        <v>0</v>
      </c>
      <c r="BP182" s="14">
        <v>0</v>
      </c>
      <c r="BQ182" s="14">
        <v>8.25</v>
      </c>
      <c r="BR182" s="14">
        <v>0</v>
      </c>
    </row>
    <row r="183" spans="1:70" ht="15" customHeight="1">
      <c r="A183" s="24">
        <v>2018</v>
      </c>
      <c r="B183" s="24" t="s">
        <v>78</v>
      </c>
      <c r="C183" s="24" t="s">
        <v>119</v>
      </c>
      <c r="D183" s="24" t="s">
        <v>121</v>
      </c>
      <c r="E183" s="23"/>
      <c r="F183" s="24" t="s">
        <v>207</v>
      </c>
      <c r="G183" s="24" t="s">
        <v>225</v>
      </c>
      <c r="H183" s="23" t="s">
        <v>225</v>
      </c>
      <c r="I183" s="24" t="s">
        <v>225</v>
      </c>
      <c r="J183" s="23" t="s">
        <v>226</v>
      </c>
      <c r="K183" s="24" t="s">
        <v>226</v>
      </c>
      <c r="L183" s="23"/>
      <c r="M183" s="26" t="s">
        <v>318</v>
      </c>
      <c r="N183" s="24">
        <v>2019</v>
      </c>
      <c r="O183" s="67" t="s">
        <v>154</v>
      </c>
      <c r="P183" s="68"/>
      <c r="Q183" s="68"/>
      <c r="R183" s="68"/>
      <c r="S183" s="68"/>
      <c r="T183" s="69"/>
      <c r="U183" s="5">
        <f>COUNTIFS(   D4:D1440,"Derecho Financiero. Ingresos y gastos públicos")</f>
        <v>1</v>
      </c>
      <c r="V183" s="5">
        <f>COUNTIFS(   D4:D1440,"Derecho Financiero. Ingresos y gastos públicos",F4:F1440,"Hombre")</f>
        <v>0</v>
      </c>
      <c r="W183" s="5">
        <f>COUNTIFS(   D4:D1440,"Derecho Financiero. Ingresos y gastos públicos",F4:F1440,"Mujer")</f>
        <v>1</v>
      </c>
      <c r="X183" s="19">
        <f>COUNTIFS(   A4:A1440,"2018", D4:D1440,"Derecho Financiero. Ingresos y gastos públicos")</f>
        <v>1</v>
      </c>
      <c r="Y183" s="5">
        <f>COUNTIFS(   A4:A1440,"2019", D4:D1440,"Derecho Financiero. Ingresos y gastos públicos")</f>
        <v>0</v>
      </c>
      <c r="Z183" s="5">
        <f>COUNTIFS(   A4:A1440,"2020", D4:D1440,"Derecho Financiero. Ingresos y gastos públicos")</f>
        <v>0</v>
      </c>
      <c r="AA183" s="5">
        <f>COUNTIFS(   A4:A1440,"2021", D4:D1440,"Derecho Financiero. Ingresos y gastos públicos")</f>
        <v>0</v>
      </c>
      <c r="AB183" s="5">
        <f>COUNTIFS(  A4:A1440,"2022", D4:D1440,"Derecho Financiero. Ingresos y gastos públicos")</f>
        <v>0</v>
      </c>
      <c r="AC183" s="19">
        <f>COUNTIFS(   N4:N1440,"2018", D4:D1440,"Derecho Financiero. Ingresos y gastos públicos")</f>
        <v>0</v>
      </c>
      <c r="AD183" s="5">
        <f>COUNTIFS(   N4:N1440,"2019", D4:D1440,"Derecho Financiero. Ingresos y gastos públicos")</f>
        <v>1</v>
      </c>
      <c r="AE183" s="5">
        <f>COUNTIFS(   N4:N1440,"2020", D4:D1440,"Derecho Financiero. Ingresos y gastos públicos")</f>
        <v>0</v>
      </c>
      <c r="AF183" s="5">
        <f>COUNTIFS(   N4:N1440,"2021", D4:D1440,"Derecho Financiero. Ingresos y gastos públicos")</f>
        <v>0</v>
      </c>
      <c r="AG183" s="5">
        <f>COUNTIFS(   N4:N1440,"2022", D4:D1440,"Derecho Financiero. Ingresos y gastos públicos")</f>
        <v>0</v>
      </c>
      <c r="AH183" s="5">
        <f>COUNTIFS(   D4:D1440,"Derecho Financiero. Ingresos y gastos públicos",G4:G1440,"Sí")</f>
        <v>0</v>
      </c>
      <c r="AI183" s="5">
        <f>COUNTIFS(   D4:D1440,"Derecho Financiero. Ingresos y gastos públicos",G4:G1440,"No")</f>
        <v>1</v>
      </c>
      <c r="AJ183" s="5">
        <f>SUMIFS( E4:E1440, D4:D1440,"Derecho Financiero. Ingresos y gastos públicos",G4:G1440,"Sí")</f>
        <v>0</v>
      </c>
      <c r="AK183" s="5">
        <f>SUMIFS( E4:E1440, D4:D1440,"Derecho Financiero. Ingresos y gastos públicos",G4:G1440,"No")</f>
        <v>2</v>
      </c>
      <c r="AL183" s="5">
        <f>COUNTIFS(   D4:D1440,"Derecho Financiero. Ingresos y gastos públicos",H4:H1440,"Sí")</f>
        <v>1</v>
      </c>
      <c r="AM183" s="5">
        <f>COUNTIFS(   D4:D1440,"Derecho Financiero. Ingresos y gastos públicos",I4:I1440,"Sí")</f>
        <v>1</v>
      </c>
      <c r="AN183" s="5">
        <f>COUNTIFS(   D4:D1440,"Derecho Financiero. Ingresos y gastos públicos",I4:I1440,"No")</f>
        <v>0</v>
      </c>
      <c r="AO183" s="5">
        <f>SUMIFS( E4:E1440, D4:D1440,"Derecho Financiero. Ingresos y gastos públicos",I4:I1440,"Sí")</f>
        <v>2</v>
      </c>
      <c r="AP183" s="5">
        <f>SUMIFS( E4:E1440, D4:D1440,"Derecho Financiero. Ingresos y gastos públicos",I4:I1440,"No")</f>
        <v>0</v>
      </c>
      <c r="AQ183" s="5">
        <f>COUNTIFS(   D4:D1440,"Derecho Financiero. Ingresos y gastos públicos",J4:J1440,"Sí")</f>
        <v>1</v>
      </c>
      <c r="AR183" s="5">
        <f>COUNTIFS(   D4:D1440,"Derecho Financiero. Ingresos y gastos públicos",K4:K1440,"Sí")</f>
        <v>1</v>
      </c>
      <c r="AS183" s="5">
        <f>COUNTIFS(   D4:D1440,"Derecho Financiero. Ingresos y gastos públicos",L4:L1440,"Sí")</f>
        <v>0</v>
      </c>
      <c r="AT183" s="5">
        <f>SUMIFS( E4:E1440, D4:D1440,"Derecho Financiero. Ingresos y gastos públicos")</f>
        <v>2</v>
      </c>
      <c r="AU183" s="5">
        <f>SUMIFS( E4:E1440, F4:F1440,"Hombre", D4:D1440,"Derecho Financiero. Ingresos y gastos públicos")</f>
        <v>0</v>
      </c>
      <c r="AV183" s="5">
        <f>SUMIFS( E4:E1440, F4:F1440,"Mujer", D4:D1440,"Derecho Financiero. Ingresos y gastos públicos")</f>
        <v>2</v>
      </c>
      <c r="AW183" s="19">
        <f>SUMIFS( E4:E1440, A4:A1440,"2018", D4:D1440,"Derecho Financiero. Ingresos y gastos públicos")</f>
        <v>2</v>
      </c>
      <c r="AX183" s="5">
        <f>SUMIFS( E4:E1440, A4:A1440,"2019", D4:D1440,"Derecho Financiero. Ingresos y gastos públicos")</f>
        <v>0</v>
      </c>
      <c r="AY183" s="5">
        <f>SUMIFS( E4:E1440, A4:A1440,"2020", D4:D1440,"Derecho Financiero. Ingresos y gastos públicos")</f>
        <v>0</v>
      </c>
      <c r="AZ183" s="5">
        <f>SUMIFS( E4:E1440, A4:A1440,"2021", D4:D1440,"Derecho Financiero. Ingresos y gastos públicos")</f>
        <v>0</v>
      </c>
      <c r="BA183" s="5">
        <f>SUMIFS( E4:E1440, A4:A1440,"2022", D4:D1440,"Derecho Financiero. Ingresos y gastos públicos")</f>
        <v>0</v>
      </c>
      <c r="BB183" s="19">
        <f>SUMIFS( E4:E1440, N4:N1440,"2018", D4:D1440,"Derecho Financiero. Ingresos y gastos públicos")</f>
        <v>0</v>
      </c>
      <c r="BC183" s="5">
        <f>SUMIFS( E4:E1440, N4:N1440,"2019", D4:D1440,"Derecho Financiero. Ingresos y gastos públicos")</f>
        <v>2</v>
      </c>
      <c r="BD183" s="5">
        <f>SUMIFS( E4:E1440, N4:N1440,"2020", D4:D1440,"Derecho Financiero. Ingresos y gastos públicos")</f>
        <v>0</v>
      </c>
      <c r="BE183" s="5">
        <f>SUMIFS( E4:E1440, N4:N1440,"2021", D4:D1440,"Derecho Financiero. Ingresos y gastos públicos")</f>
        <v>0</v>
      </c>
      <c r="BF183" s="5">
        <f>SUMIFS( E4:E1440, N4:N1440,"2022", D4:D1440,"Derecho Financiero. Ingresos y gastos públicos")</f>
        <v>0</v>
      </c>
      <c r="BG183" s="14">
        <f>AVERAGEIFS( E4:E1440, D4:D1440,"Derecho Financiero. Ingresos y gastos públicos")</f>
        <v>2</v>
      </c>
      <c r="BH183" s="14">
        <v>0</v>
      </c>
      <c r="BI183" s="14">
        <v>0</v>
      </c>
      <c r="BJ183" s="14">
        <v>0</v>
      </c>
      <c r="BK183" s="14" t="e">
        <f>AVERAGEIFS( E4:E1440, A4:A1440,"2021", D4:D1440,"Derecho Financiero. Ingresos y gastos públicos")</f>
        <v>#DIV/0!</v>
      </c>
      <c r="BL183" s="37" t="e">
        <f>AVERAGEIFS( E4:E1440, A4:A1440,"2022", D4:D1440,"Derecho Financiero. Ingresos y gastos públicos")</f>
        <v>#DIV/0!</v>
      </c>
      <c r="BM183" s="14">
        <v>0.66666666666666663</v>
      </c>
      <c r="BN183" s="14">
        <v>0</v>
      </c>
      <c r="BO183" s="14">
        <v>0</v>
      </c>
      <c r="BP183" s="14">
        <v>0</v>
      </c>
      <c r="BQ183" s="14">
        <v>0</v>
      </c>
      <c r="BR183" s="14">
        <v>1</v>
      </c>
    </row>
    <row r="184" spans="1:70" ht="15" customHeight="1">
      <c r="A184" s="24">
        <v>2018</v>
      </c>
      <c r="B184" s="24" t="s">
        <v>4</v>
      </c>
      <c r="C184" s="24" t="s">
        <v>5</v>
      </c>
      <c r="D184" s="24" t="s">
        <v>7</v>
      </c>
      <c r="E184" s="23">
        <v>39</v>
      </c>
      <c r="F184" s="24" t="s">
        <v>211</v>
      </c>
      <c r="G184" s="24" t="s">
        <v>225</v>
      </c>
      <c r="H184" s="23" t="s">
        <v>226</v>
      </c>
      <c r="I184" s="24" t="s">
        <v>226</v>
      </c>
      <c r="J184" s="23" t="s">
        <v>226</v>
      </c>
      <c r="K184" s="24" t="s">
        <v>226</v>
      </c>
      <c r="L184" s="23"/>
      <c r="M184" s="26" t="s">
        <v>318</v>
      </c>
      <c r="N184" s="24">
        <v>2019</v>
      </c>
      <c r="O184" s="67" t="s">
        <v>205</v>
      </c>
      <c r="P184" s="68"/>
      <c r="Q184" s="68"/>
      <c r="R184" s="68"/>
      <c r="S184" s="68"/>
      <c r="T184" s="69"/>
      <c r="U184" s="5">
        <f>COUNTIFS(   D4:D1440,"Derecho Internacional, de la Unión Europea y Comparado")</f>
        <v>2</v>
      </c>
      <c r="V184" s="5">
        <f>COUNTIFS(   D4:D1440,"Derecho Internacional, de la Unión Europea y Comparado",F4:F1440,"Hombre")</f>
        <v>1</v>
      </c>
      <c r="W184" s="5">
        <f>COUNTIFS(   D4:D1440,"Derecho Internacional, de la Unión Europea y Comparado",F4:F1440,"Mujer")</f>
        <v>1</v>
      </c>
      <c r="X184" s="19">
        <f>COUNTIFS(   A4:A1440,"2018", D4:D1440,"Derecho Internacional, de la Unión Europea y Comparado")</f>
        <v>1</v>
      </c>
      <c r="Y184" s="5">
        <f>COUNTIFS(   A4:A1440,"2019", D4:D1440,"Derecho Internacional, de la Unión Europea y Comparado")</f>
        <v>0</v>
      </c>
      <c r="Z184" s="5">
        <f>COUNTIFS(   A4:A1440,"2020", D4:D1440,"Derecho Internacional, de la Unión Europea y Comparado")</f>
        <v>1</v>
      </c>
      <c r="AA184" s="5">
        <f>COUNTIFS(   A4:A1440,"2021", D4:D1440,"Derecho Internacional, de la Unión Europea y Comparado")</f>
        <v>0</v>
      </c>
      <c r="AB184" s="5">
        <f>COUNTIFS(  A4:A1440,"2022", D4:D1440,"Derecho Internacional, de la Unión Europea y Comparado")</f>
        <v>0</v>
      </c>
      <c r="AC184" s="19">
        <f>COUNTIFS(   N4:N1440,"2018", D4:D1440,"Derecho Internacional, de la Unión Europea y Comparado")</f>
        <v>0</v>
      </c>
      <c r="AD184" s="5">
        <f>COUNTIFS(   N4:N1440,"2019", D4:D1440,"Derecho Internacional, de la Unión Europea y Comparado")</f>
        <v>1</v>
      </c>
      <c r="AE184" s="5">
        <f>COUNTIFS(   N4:N1440,"2020", D4:D1440,"Derecho Internacional, de la Unión Europea y Comparado")</f>
        <v>0</v>
      </c>
      <c r="AF184" s="5">
        <f>COUNTIFS(   N4:N1440,"2021", D4:D1440,"Derecho Internacional, de la Unión Europea y Comparado")</f>
        <v>1</v>
      </c>
      <c r="AG184" s="5">
        <f>COUNTIFS(   N4:N1440,"2022", D4:D1440,"Derecho Internacional, de la Unión Europea y Comparado")</f>
        <v>0</v>
      </c>
      <c r="AH184" s="5">
        <f>COUNTIFS(   D4:D1440,"Derecho Internacional, de la Unión Europea y Comparado",G4:G1440,"Sí")</f>
        <v>1</v>
      </c>
      <c r="AI184" s="5">
        <f>COUNTIFS(   D4:D1440,"Derecho Internacional, de la Unión Europea y Comparado",G4:G1440,"No")</f>
        <v>1</v>
      </c>
      <c r="AJ184" s="5">
        <f>SUMIFS( E4:E1440, D4:D1440,"Derecho Internacional, de la Unión Europea y Comparado",G4:G1440,"Sí")</f>
        <v>0</v>
      </c>
      <c r="AK184" s="5">
        <f>SUMIFS( E4:E1440, D4:D1440,"Derecho Internacional, de la Unión Europea y Comparado",G4:G1440,"No")</f>
        <v>1</v>
      </c>
      <c r="AL184" s="5">
        <f>COUNTIFS(   D4:D1440,"Derecho Internacional, de la Unión Europea y Comparado",H4:H1440,"Sí")</f>
        <v>1</v>
      </c>
      <c r="AM184" s="5">
        <f>COUNTIFS(   D4:D1440,"Derecho Internacional, de la Unión Europea y Comparado",I4:I1440,"Sí")</f>
        <v>1</v>
      </c>
      <c r="AN184" s="5">
        <f>COUNTIFS(   D4:D1440,"Derecho Internacional, de la Unión Europea y Comparado",I4:I1440,"No")</f>
        <v>1</v>
      </c>
      <c r="AO184" s="5">
        <f>SUMIFS( E4:E1440, D4:D1440,"Derecho Internacional, de la Unión Europea y Comparado",I4:I1440,"Sí")</f>
        <v>0</v>
      </c>
      <c r="AP184" s="5">
        <f>SUMIFS( E4:E1440, D4:D1440,"Derecho Internacional, de la Unión Europea y Comparado",I4:I1440,"No")</f>
        <v>1</v>
      </c>
      <c r="AQ184" s="5">
        <f>COUNTIFS(   D4:D1440,"Derecho Internacional, de la Unión Europea y Comparado",J4:J1440,"Sí")</f>
        <v>2</v>
      </c>
      <c r="AR184" s="5">
        <f>COUNTIFS(   D4:D1440,"Derecho Internacional, de la Unión Europea y Comparado",K4:K1440,"Sí")</f>
        <v>1</v>
      </c>
      <c r="AS184" s="5">
        <f>COUNTIFS(   D4:D1440,"Derecho Internacional, de la Unión Europea y Comparado",L4:L1440,"Sí")</f>
        <v>0</v>
      </c>
      <c r="AT184" s="5">
        <f>SUMIFS( E4:E1440, D4:D1440,"Derecho Internacional, de la Unión Europea y Comparado")</f>
        <v>1</v>
      </c>
      <c r="AU184" s="5">
        <f>SUMIFS( E4:E1440, F4:F1440,"Hombre", D4:D1440,"Derecho Internacional, de la Unión Europea y Comparado")</f>
        <v>1</v>
      </c>
      <c r="AV184" s="5">
        <f>SUMIFS( E4:E1440, F4:F1440,"Mujer", D4:D1440,"Derecho Internacional, de la Unión Europea y Comparado")</f>
        <v>0</v>
      </c>
      <c r="AW184" s="19">
        <f>SUMIFS( E4:E1440, A4:A1440,"2018", D4:D1440,"Derecho Internacional, de la Unión Europea y Comparado")</f>
        <v>0</v>
      </c>
      <c r="AX184" s="5">
        <f>SUMIFS( E4:E1440, A4:A1440,"2019", D4:D1440,"Derecho Internacional, de la Unión Europea y Comparado")</f>
        <v>0</v>
      </c>
      <c r="AY184" s="5">
        <f>SUMIFS( E4:E1440, A4:A1440,"2020", D4:D1440,"Derecho Internacional, de la Unión Europea y Comparado")</f>
        <v>1</v>
      </c>
      <c r="AZ184" s="5">
        <f>SUMIFS( E4:E1440, A4:A1440,"2021", D4:D1440,"Derecho Internacional, de la Unión Europea y Comparado")</f>
        <v>0</v>
      </c>
      <c r="BA184" s="5">
        <f>SUMIFS( E4:E1440, A4:A1440,"2022", D4:D1440,"Derecho Internacional, de la Unión Europea y Comparado")</f>
        <v>0</v>
      </c>
      <c r="BB184" s="19">
        <f>SUMIFS( E4:E1440, N4:N1440,"2018", D4:D1440,"Derecho Internacional, de la Unión Europea y Comparado")</f>
        <v>0</v>
      </c>
      <c r="BC184" s="5">
        <f>SUMIFS( E4:E1440, N4:N1440,"2019", D4:D1440,"Derecho Internacional, de la Unión Europea y Comparado")</f>
        <v>0</v>
      </c>
      <c r="BD184" s="5">
        <f>SUMIFS( E4:E1440, N4:N1440,"2020", D4:D1440,"Derecho Internacional, de la Unión Europea y Comparado")</f>
        <v>0</v>
      </c>
      <c r="BE184" s="5">
        <f>SUMIFS( E4:E1440, N4:N1440,"2021", D4:D1440,"Derecho Internacional, de la Unión Europea y Comparado")</f>
        <v>1</v>
      </c>
      <c r="BF184" s="5">
        <f>SUMIFS( E4:E1440, N4:N1440,"2022", D4:D1440,"Derecho Internacional, de la Unión Europea y Comparado")</f>
        <v>0</v>
      </c>
      <c r="BG184" s="14">
        <f>AVERAGEIFS( E4:E1440, D4:D1440,"Derecho Internacional, de la Unión Europea y Comparado")</f>
        <v>1</v>
      </c>
      <c r="BH184" s="14">
        <v>0</v>
      </c>
      <c r="BI184" s="14">
        <v>0</v>
      </c>
      <c r="BJ184" s="14">
        <f>AVERAGEIFS( E4:E1440, A4:A1440,"2020", D4:D1440,"Derecho Internacional, de la Unión Europea y Comparado")</f>
        <v>1</v>
      </c>
      <c r="BK184" s="14">
        <v>0</v>
      </c>
      <c r="BL184" s="37">
        <v>0</v>
      </c>
      <c r="BM184" s="14">
        <v>1</v>
      </c>
      <c r="BN184" s="14">
        <v>0</v>
      </c>
      <c r="BO184" s="14">
        <v>0</v>
      </c>
      <c r="BP184" s="14">
        <v>1</v>
      </c>
      <c r="BQ184" s="14">
        <v>0</v>
      </c>
      <c r="BR184" s="14">
        <v>0</v>
      </c>
    </row>
    <row r="185" spans="1:70" ht="15" customHeight="1">
      <c r="A185" s="24">
        <v>2018</v>
      </c>
      <c r="B185" s="24" t="s">
        <v>78</v>
      </c>
      <c r="C185" s="24" t="s">
        <v>95</v>
      </c>
      <c r="D185" s="24" t="s">
        <v>96</v>
      </c>
      <c r="E185" s="23">
        <v>26</v>
      </c>
      <c r="F185" s="24" t="s">
        <v>207</v>
      </c>
      <c r="G185" s="24" t="s">
        <v>225</v>
      </c>
      <c r="H185" s="23" t="s">
        <v>226</v>
      </c>
      <c r="I185" s="24" t="s">
        <v>226</v>
      </c>
      <c r="J185" s="23" t="s">
        <v>226</v>
      </c>
      <c r="K185" s="24" t="s">
        <v>226</v>
      </c>
      <c r="L185" s="23"/>
      <c r="M185" s="26" t="s">
        <v>318</v>
      </c>
      <c r="N185" s="24">
        <v>2019</v>
      </c>
      <c r="O185" s="79" t="s">
        <v>156</v>
      </c>
      <c r="P185" s="77"/>
      <c r="Q185" s="77"/>
      <c r="R185" s="77"/>
      <c r="S185" s="77"/>
      <c r="T185" s="78"/>
      <c r="U185" s="5">
        <f>COUNTIFS(   D4:D1440,"Metodología, historia del conocimiento y la argumentación jurídica. Evaluación legislativa y aplicación del Derecho")</f>
        <v>0</v>
      </c>
      <c r="V185" s="5">
        <f>COUNTIFS(   D4:D1440,"Metodología, historia del conocimiento y la argumentación jurídica. Evaluación legislativa y aplicación del Derecho",F4:F1440,"Hombre")</f>
        <v>0</v>
      </c>
      <c r="W185" s="5">
        <f>COUNTIFS(   D4:D1440,"Metodología, historia del conocimiento y la argumentación jurídica. Evaluación legislativa y aplicación del Derecho",F4:F1440,"Mujer")</f>
        <v>0</v>
      </c>
      <c r="X185" s="19">
        <f>COUNTIFS(   A4:A1440,"2018", D4:D1440,"Metodología, historia del conocimiento y la argumentación jurídica. Evaluación legislativa y aplicación del Derecho")</f>
        <v>0</v>
      </c>
      <c r="Y185" s="5">
        <f>COUNTIFS(   A4:A1440,"2019", D4:D1440,"Metodología, historia del conocimiento y la argumentación jurídica. Evaluación legislativa y aplicación del Derecho")</f>
        <v>0</v>
      </c>
      <c r="Z185" s="5">
        <f>COUNTIFS(   A4:A1440,"2020", D4:D1440,"Metodología, historia del conocimiento y la argumentación jurídica. Evaluación legislativa y aplicación del Derecho")</f>
        <v>0</v>
      </c>
      <c r="AA185" s="5">
        <f>COUNTIFS(   A4:A1440,"2021", D4:D1440,"Metodología, historia del conocimiento y la argumentación jurídica. Evaluación legislativa y aplicación del Derecho")</f>
        <v>0</v>
      </c>
      <c r="AB185" s="5">
        <f>COUNTIFS(  A4:A1440,"2022", D4:D1440,"Metodología, historia del conocimiento y la argumentación jurídica. Evaluación legislativa y aplicación del Derecho")</f>
        <v>0</v>
      </c>
      <c r="AC185" s="19">
        <f>COUNTIFS(   N4:N1440,"2018", D4:D1440,"Metodología, historia del conocimiento y la argumentación jurídica. Evaluación legislativa y aplicación del Derecho")</f>
        <v>0</v>
      </c>
      <c r="AD185" s="5">
        <f>COUNTIFS(   N4:N1440,"2019", D4:D1440,"Metodología, historia del conocimiento y la argumentación jurídica. Evaluación legislativa y aplicación del Derecho")</f>
        <v>0</v>
      </c>
      <c r="AE185" s="5">
        <f>COUNTIFS(   N4:N1440,"2020", D4:D1440,"Metodología, historia del conocimiento y la argumentación jurídica. Evaluación legislativa y aplicación del Derecho")</f>
        <v>0</v>
      </c>
      <c r="AF185" s="5">
        <f>COUNTIFS(   N4:N1440,"2021", D4:D1440,"Metodología, historia del conocimiento y la argumentación jurídica. Evaluación legislativa y aplicación del Derecho")</f>
        <v>0</v>
      </c>
      <c r="AG185" s="5">
        <f>COUNTIFS(   N4:N1440,"2022", D4:D1440,"Metodología, historia del conocimiento y la argumentación jurídica. Evaluación legislativa y aplicación del Derecho")</f>
        <v>0</v>
      </c>
      <c r="AH185" s="5">
        <f>COUNTIFS(   D4:D1440,"Metodología, historia del conocimiento y la argumentación jurídica. Evaluación legislativa y aplicación del Derecho",G4:G1440,"Sí")</f>
        <v>0</v>
      </c>
      <c r="AI185" s="5">
        <f>COUNTIFS(   D4:D1440,"Metodología, historia del conocimiento y la argumentación jurídica. Evaluación legislativa y aplicación del Derecho",G4:G1440,"No")</f>
        <v>0</v>
      </c>
      <c r="AJ185" s="5">
        <f>SUMIFS( E4:E1440, D4:D1440,"Metodología, historia del conocimiento y la argumentación jurídica. Evaluación legislativa y aplicación del Derecho",G4:G1440,"Sí")</f>
        <v>0</v>
      </c>
      <c r="AK185" s="5">
        <f>SUMIFS( E4:E1440, D4:D1440,"Metodología, historia del conocimiento y la argumentación jurídica. Evaluación legislativa y aplicación del Derecho",G4:G1440,"No")</f>
        <v>0</v>
      </c>
      <c r="AL185" s="5">
        <f>COUNTIFS(   D4:D1440,"Metodología, historia del conocimiento y la argumentación jurídica. Evaluación legislativa y aplicación del Derecho",H4:H1440,"Sí")</f>
        <v>0</v>
      </c>
      <c r="AM185" s="5">
        <f>COUNTIFS(   D4:D1440,"Metodología, historia del conocimiento y la argumentación jurídica. Evaluación legislativa y aplicación del Derecho",I4:I1440,"Sí")</f>
        <v>0</v>
      </c>
      <c r="AN185" s="5">
        <f>COUNTIFS(   D4:D1440,"Metodología, historia del conocimiento y la argumentación jurídica. Evaluación legislativa y aplicación del Derecho",I4:I1440,"No")</f>
        <v>0</v>
      </c>
      <c r="AO185" s="5">
        <f>SUMIFS( E4:E1440, D4:D1440,"Metodología, historia del conocimiento y la argumentación jurídica. Evaluación legislativa y aplicación del Derecho",I4:I1440,"Sí")</f>
        <v>0</v>
      </c>
      <c r="AP185" s="5">
        <f>SUMIFS( E4:E1440, D4:D1440,"Metodología, historia del conocimiento y la argumentación jurídica. Evaluación legislativa y aplicación del Derecho",I4:I1440,"No")</f>
        <v>0</v>
      </c>
      <c r="AQ185" s="5">
        <f>COUNTIFS(   D4:D1440,"Metodología, historia del conocimiento y la argumentación jurídica. Evaluación legislativa y aplicación del Derecho",J4:J1440,"Sí")</f>
        <v>0</v>
      </c>
      <c r="AR185" s="5">
        <f>COUNTIFS(   D4:D1440,"Metodología, historia del conocimiento y la argumentación jurídica. Evaluación legislativa y aplicación del Derecho",K4:K1440,"Sí")</f>
        <v>0</v>
      </c>
      <c r="AS185" s="5">
        <f>COUNTIFS(   D4:D1440,"Metodología, historia del conocimiento y la argumentación jurídica. Evaluación legislativa y aplicación del Derecho",L4:L1440,"Sí")</f>
        <v>0</v>
      </c>
      <c r="AT185" s="5">
        <f>SUMIFS( E4:E1440, D4:D1440,"Metodología, historia del conocimiento y la argumentación jurídica. Evaluación legislativa y aplicación del Derecho")</f>
        <v>0</v>
      </c>
      <c r="AU185" s="5">
        <f>SUMIFS( E4:E1440, F4:F1440,"Hombre", D4:D1440,"Metodología, historia del conocimiento y la argumentación jurídica. Evaluación legislativa y aplicación del Derecho")</f>
        <v>0</v>
      </c>
      <c r="AV185" s="5">
        <f>SUMIFS( E4:E1440, F4:F1440,"Mujer", D4:D1440,"Metodología, historia del conocimiento y la argumentación jurídica. Evaluación legislativa y aplicación del Derecho")</f>
        <v>0</v>
      </c>
      <c r="AW185" s="19">
        <f>SUMIFS( E4:E1440, A4:A1440,"2018", D4:D1440,"Metodología, historia del conocimiento y la argumentación jurídica. Evaluación legislativa y aplicación del Derecho")</f>
        <v>0</v>
      </c>
      <c r="AX185" s="5">
        <f>SUMIFS( E4:E1440, A4:A1440,"2019", D4:D1440,"Metodología, historia del conocimiento y la argumentación jurídica. Evaluación legislativa y aplicación del Derecho")</f>
        <v>0</v>
      </c>
      <c r="AY185" s="5">
        <f>SUMIFS( E4:E1440, A4:A1440,"2020", D4:D1440,"Metodología, historia del conocimiento y la argumentación jurídica. Evaluación legislativa y aplicación del Derecho")</f>
        <v>0</v>
      </c>
      <c r="AZ185" s="5">
        <f>SUMIFS( E4:E1440, A4:A1440,"2021", D4:D1440,"Metodología, historia del conocimiento y la argumentación jurídica. Evaluación legislativa y aplicación del Derecho")</f>
        <v>0</v>
      </c>
      <c r="BA185" s="5">
        <f>SUMIFS( E4:E1440, A4:A1440,"2022", D4:D1440,"Metodología, historia del conocimiento y la argumentación jurídica. Evaluación legislativa y aplicación del Derecho")</f>
        <v>0</v>
      </c>
      <c r="BB185" s="19">
        <f>SUMIFS( E4:E1440, N4:N1440,"2018", D4:D1440,"Metodología, historia del conocimiento y la argumentación jurídica. Evaluación legislativa y aplicación del Derecho")</f>
        <v>0</v>
      </c>
      <c r="BC185" s="5">
        <f>SUMIFS( E4:E1440, N4:N1440,"2019", D4:D1440,"Metodología, historia del conocimiento y la argumentación jurídica. Evaluación legislativa y aplicación del Derecho")</f>
        <v>0</v>
      </c>
      <c r="BD185" s="5">
        <f>SUMIFS( E4:E1440, N4:N1440,"2020", D4:D1440,"Metodología, historia del conocimiento y la argumentación jurídica. Evaluación legislativa y aplicación del Derecho")</f>
        <v>0</v>
      </c>
      <c r="BE185" s="5">
        <f>SUMIFS( E4:E1440, N4:N1440,"2021", D4:D1440,"Metodología, historia del conocimiento y la argumentación jurídica. Evaluación legislativa y aplicación del Derecho")</f>
        <v>0</v>
      </c>
      <c r="BF185" s="5">
        <f>SUMIFS( E4:E1440, N4:N1440,"2022", D4:D1440,"Metodología, historia del conocimiento y la argumentación jurídica. Evaluación legislativa y aplicación del Derecho")</f>
        <v>0</v>
      </c>
      <c r="BG185" s="14" t="e">
        <f>AVERAGEIFS( E4:E1440, D4:D1440,"Metodología, historia del conocimiento y la argumentación jurídica. Evaluación legislativa y aplicación del Derecho")</f>
        <v>#DIV/0!</v>
      </c>
      <c r="BH185" s="14">
        <v>0</v>
      </c>
      <c r="BI185" s="14">
        <v>0</v>
      </c>
      <c r="BJ185" s="14">
        <v>0</v>
      </c>
      <c r="BK185" s="14" t="e">
        <f>AVERAGEIFS( E4:E1440, A4:A1440,"2021", D4:D1440,"Metodología, historia del conocimiento y la argumentación jurídica. Evaluación legislativa y aplicación del Derecho")</f>
        <v>#DIV/0!</v>
      </c>
      <c r="BL185" s="37" t="e">
        <f>AVERAGEIFS( E4:E1440, A4:A1440,"2022", D4:D1440,"Derecho, Medioambiente, Urbanismo y Ordenación del Territorio")</f>
        <v>#DIV/0!</v>
      </c>
      <c r="BM185" s="14">
        <v>23</v>
      </c>
      <c r="BN185" s="14">
        <v>0</v>
      </c>
      <c r="BO185" s="14">
        <v>0</v>
      </c>
      <c r="BP185" s="14">
        <v>0</v>
      </c>
      <c r="BQ185" s="14">
        <v>11</v>
      </c>
      <c r="BR185" s="14">
        <v>35</v>
      </c>
    </row>
    <row r="186" spans="1:70" ht="15" customHeight="1">
      <c r="A186" s="24">
        <v>2018</v>
      </c>
      <c r="B186" s="24" t="s">
        <v>4</v>
      </c>
      <c r="C186" s="24" t="s">
        <v>5</v>
      </c>
      <c r="D186" s="24"/>
      <c r="E186" s="23"/>
      <c r="F186" s="24" t="s">
        <v>207</v>
      </c>
      <c r="G186" s="24" t="s">
        <v>225</v>
      </c>
      <c r="H186" s="23" t="s">
        <v>225</v>
      </c>
      <c r="I186" s="24" t="s">
        <v>225</v>
      </c>
      <c r="J186" s="23" t="s">
        <v>226</v>
      </c>
      <c r="K186" s="24" t="s">
        <v>226</v>
      </c>
      <c r="L186" s="23"/>
      <c r="M186" s="26" t="s">
        <v>318</v>
      </c>
      <c r="N186" s="24">
        <v>2019</v>
      </c>
      <c r="O186" s="51" t="s">
        <v>594</v>
      </c>
      <c r="P186" s="52"/>
      <c r="Q186" s="52"/>
      <c r="R186" s="52"/>
      <c r="S186" s="52"/>
      <c r="T186" s="53"/>
      <c r="U186" s="5">
        <f>COUNTIFS(   D3:D1440,"Derecho sanitario y biotecnológico")</f>
        <v>1</v>
      </c>
      <c r="V186" s="5">
        <f>COUNTIFS(   D3:D1439,"Derecho sanitario y biotecnológico",F3:F1439,"Hombre")</f>
        <v>1</v>
      </c>
      <c r="W186" s="5">
        <f>COUNTIFS(   D3:D1439,"Derecho sanitario y biotecnológico",F3:F1439,"Mujer")</f>
        <v>0</v>
      </c>
      <c r="X186" s="19">
        <f>COUNTIFS(   A3:A1439,"2018", D3:D1439,"Derecho sanitario y biotecnológico")</f>
        <v>0</v>
      </c>
      <c r="Y186" s="5">
        <f>COUNTIFS(   A3:A1439,"2019", D3:D1439,"Derecho sanitario y biotecnológico")</f>
        <v>0</v>
      </c>
      <c r="Z186" s="5">
        <f>COUNTIFS(   A3:A1439,"2020", D3:D1439,"Derecho sanitario y biotecnológico")</f>
        <v>0</v>
      </c>
      <c r="AA186" s="5">
        <f>COUNTIFS(   A3:A1439,"2021", D3:D1439,"Derecho sanitario y biotecnológico")</f>
        <v>1</v>
      </c>
      <c r="AB186" s="5">
        <f>COUNTIFS(  A3:A1439,"2022", D3:D1439,"Derecho sanitario y biotecnológico")</f>
        <v>0</v>
      </c>
      <c r="AC186" s="19">
        <f>COUNTIFS(   N3:N1439,"2018", D3:D1439,"Derecho sanitario y biotecnológico")</f>
        <v>0</v>
      </c>
      <c r="AD186" s="5">
        <f>COUNTIFS(   N3:N1439,"2019", D3:D1439,"Derecho sanitario y biotecnológico")</f>
        <v>0</v>
      </c>
      <c r="AE186" s="5">
        <f>COUNTIFS(   N3:N1439,"2020", D3:D1439,"Derecho sanitario y biotecnológico")</f>
        <v>0</v>
      </c>
      <c r="AF186" s="5">
        <f>COUNTIFS(   N3:N1439,"2021", D3:D1439,"Derecho sanitario y biotecnológico")</f>
        <v>1</v>
      </c>
      <c r="AG186" s="5">
        <f>COUNTIFS(   N3:N1439,"2022", D3:D1439,"Derecho sanitario y biotecnológico")</f>
        <v>0</v>
      </c>
      <c r="AH186" s="5">
        <f>COUNTIFS(   D3:D1439,"Derecho sanitario y biotecnológico",G3:G1439,"Sí")</f>
        <v>0</v>
      </c>
      <c r="AI186" s="5">
        <f>COUNTIFS(   D3:D1439,"Derecho sanitario y biotecnológico",G3:G1439,"No")</f>
        <v>1</v>
      </c>
      <c r="AJ186" s="5">
        <f>SUMIFS( E3:E1439, D3:D1439,"Derecho sanitario y biotecnológico",G3:G1439,"Sí")</f>
        <v>0</v>
      </c>
      <c r="AK186" s="5">
        <f>SUMIFS( E3:E1439, D3:D1439,"Derecho sanitario y biotecnológico",G3:G1439,"No")</f>
        <v>27</v>
      </c>
      <c r="AL186" s="5">
        <f>COUNTIFS(   D3:D1439,"Derecho sanitario y biotecnológico",H3:H1439,"Sí")</f>
        <v>0</v>
      </c>
      <c r="AM186" s="5">
        <f>COUNTIFS(   D3:D1439,"Derecho sanitario y biotecnológico",I3:I1439,"Sí")</f>
        <v>0</v>
      </c>
      <c r="AN186" s="5">
        <f>COUNTIFS(   D3:D1439,"Derecho sanitario y biotecnológico",I3:I1439,"No")</f>
        <v>1</v>
      </c>
      <c r="AO186" s="5">
        <f>SUMIFS( E3:E1439, D3:D1439,"Derecho sanitario y biotecnológico",I3:I1439,"Sí")</f>
        <v>0</v>
      </c>
      <c r="AP186" s="5">
        <f>SUMIFS( E3:E1439, D3:D1439,"Derecho sanitario y biotecnológico",I3:I1439,"No")</f>
        <v>27</v>
      </c>
      <c r="AQ186" s="5">
        <f>COUNTIFS(   D3:D1439,"Derecho sanitario y biotecnológico",J3:J1439,"Sí")</f>
        <v>1</v>
      </c>
      <c r="AR186" s="5">
        <f>COUNTIFS(   D3:D1439,"Derecho sanitario y biotecnológico",K3:K1439,"Sí")</f>
        <v>0</v>
      </c>
      <c r="AS186" s="5">
        <f>COUNTIFS(   D3:D1439,"Derecho sanitario y biotecnológico",L3:L1439,"Sí")</f>
        <v>0</v>
      </c>
      <c r="AT186" s="5">
        <f>SUMIFS( E3:E1439, D3:D1439,"Derecho sanitario y biotecnológico")</f>
        <v>27</v>
      </c>
      <c r="AU186" s="5">
        <f>SUMIFS( E3:E1439, F3:F1439,"Hombre", D3:D1439,"Derecho sanitario y biotecnológico")</f>
        <v>27</v>
      </c>
      <c r="AV186" s="5">
        <f>SUMIFS( E3:E1439, F3:F1439,"Mujer", D3:D1439,"Derecho sanitario y biotecnológico")</f>
        <v>0</v>
      </c>
      <c r="AW186" s="19">
        <f>SUMIFS( E3:E1439, A3:A1439,"2018", D3:D1439,"Derecho sanitario y biotecnológico")</f>
        <v>0</v>
      </c>
      <c r="AX186" s="5">
        <f>SUMIFS( E3:E1439, A3:A1439,"2019", D3:D1439,"Derecho sanitario y biotecnológico")</f>
        <v>0</v>
      </c>
      <c r="AY186" s="5">
        <f>SUMIFS( E3:E1439, A3:A1439,"2020", D3:D1439,"Derecho sanitario y biotecnológico")</f>
        <v>0</v>
      </c>
      <c r="AZ186" s="5">
        <f>SUMIFS( E3:E1439, A3:A1439,"2021", D3:D1439,"Derecho sanitario y biotecnológico")</f>
        <v>27</v>
      </c>
      <c r="BA186" s="5">
        <f>SUMIFS( E3:E1439, A3:A1439,"2022", D3:D1439,"Derecho sanitario y biotecnológico")</f>
        <v>0</v>
      </c>
      <c r="BB186" s="19">
        <f>SUMIFS( E3:E1439, N3:N1439,"2018", D3:D1439,"Derecho sanitario y biotecnológico")</f>
        <v>0</v>
      </c>
      <c r="BC186" s="5">
        <f>SUMIFS( E3:E1439, N3:N1439,"2019", D3:D1439,"Derecho sanitario y biotecnológico")</f>
        <v>0</v>
      </c>
      <c r="BD186" s="5">
        <f>SUMIFS( E3:E1439, N3:N1439,"2020", D3:D1439,"Derecho sanitario y biotecnológico")</f>
        <v>0</v>
      </c>
      <c r="BE186" s="5">
        <f>SUMIFS( E3:E1439, N3:N1439,"2021", D3:D1439,"Derecho sanitario y biotecnológico")</f>
        <v>27</v>
      </c>
      <c r="BF186" s="5">
        <f>SUMIFS( E3:E1439, N3:N1439,"2022", D3:D1439,"Derecho sanitario y biotecnológico")</f>
        <v>0</v>
      </c>
      <c r="BG186" s="14">
        <f>AVERAGEIFS( E3:E1439, D3:D1439,"Derecho sanitario y biotecnológico")</f>
        <v>27</v>
      </c>
      <c r="BH186" s="14"/>
      <c r="BI186" s="14"/>
      <c r="BJ186" s="14"/>
      <c r="BK186" s="14"/>
      <c r="BL186" s="37" t="e">
        <f>AVERAGEIFS( E5:E1441, A5:A1441,"2022", D5:D1441,"Metodología, historia del conocimiento y la argumentación jurídica. Evaluación legislativa y aplicación del Derecho")</f>
        <v>#DIV/0!</v>
      </c>
      <c r="BM186" s="14"/>
      <c r="BN186" s="14"/>
      <c r="BO186" s="14"/>
      <c r="BP186" s="14"/>
      <c r="BQ186" s="14"/>
      <c r="BR186" s="14"/>
    </row>
    <row r="187" spans="1:70" ht="15" customHeight="1">
      <c r="A187" s="24">
        <v>2018</v>
      </c>
      <c r="B187" s="24" t="s">
        <v>78</v>
      </c>
      <c r="C187" s="24" t="s">
        <v>681</v>
      </c>
      <c r="D187" s="24" t="s">
        <v>269</v>
      </c>
      <c r="E187" s="23"/>
      <c r="F187" s="24" t="s">
        <v>207</v>
      </c>
      <c r="G187" s="24" t="s">
        <v>225</v>
      </c>
      <c r="H187" s="23" t="s">
        <v>225</v>
      </c>
      <c r="I187" s="24" t="s">
        <v>226</v>
      </c>
      <c r="J187" s="23" t="s">
        <v>226</v>
      </c>
      <c r="K187" s="24" t="s">
        <v>226</v>
      </c>
      <c r="L187" s="23"/>
      <c r="M187" s="26" t="s">
        <v>318</v>
      </c>
      <c r="N187" s="24">
        <v>2019</v>
      </c>
      <c r="O187" s="51" t="s">
        <v>487</v>
      </c>
      <c r="P187" s="52"/>
      <c r="Q187" s="52"/>
      <c r="R187" s="52"/>
      <c r="S187" s="52"/>
      <c r="T187" s="53"/>
      <c r="U187" s="5">
        <f>COUNTIFS(   D4:D1440,"Derecho, Medioambiente, Urbanismo y Ordenación del Territorio")</f>
        <v>3</v>
      </c>
      <c r="V187" s="5">
        <f>COUNTIFS(   D4:D1440,"Derecho, Medioambiente, Urbanismo y Ordenación del Territorio",F4:F1440,"Hombre")</f>
        <v>3</v>
      </c>
      <c r="W187" s="5">
        <f>COUNTIFS(   D4:D1440,"Derecho, Medioambiente, Urbanismo y Ordenación del Territorio",F4:F1440,"Mujer")</f>
        <v>0</v>
      </c>
      <c r="X187" s="19">
        <f>COUNTIFS(   A4:A1440,"2018", D4:D1440,"Derecho, Medioambiente, Urbanismo y Ordenación del Territorio")</f>
        <v>0</v>
      </c>
      <c r="Y187" s="5">
        <f>COUNTIFS(   A4:A1440,"2019", D4:D1440,"Derecho, Medioambiente, Urbanismo y Ordenación del Territorio")</f>
        <v>0</v>
      </c>
      <c r="Z187" s="5">
        <f>COUNTIFS(   A4:A1440,"2020", D4:D1440,"Derecho, Medioambiente, Urbanismo y Ordenación del Territorio")</f>
        <v>2</v>
      </c>
      <c r="AA187" s="5">
        <f>COUNTIFS(   A4:A1440,"2021", D4:D1440,"Derecho, Medioambiente, Urbanismo y Ordenación del Territorio")</f>
        <v>1</v>
      </c>
      <c r="AB187" s="5">
        <f>COUNTIFS(  A4:A1440,"2022", D4:D1440,"Derecho, Medioambiente, Urbanismo y Ordenación del Territorio")</f>
        <v>0</v>
      </c>
      <c r="AC187" s="19">
        <f>COUNTIFS(   N4:N1440,"2018", D4:D1440,"Derecho, Medioambiente, Urbanismo y Ordenación del Territorio")</f>
        <v>0</v>
      </c>
      <c r="AD187" s="5">
        <f>COUNTIFS(   N4:N1440,"2019", D4:D1440,"Derecho, Medioambiente, Urbanismo y Ordenación del Territorio")</f>
        <v>0</v>
      </c>
      <c r="AE187" s="5">
        <f>COUNTIFS(   N4:N1440,"2020", D4:D1440,"Derecho, Medioambiente, Urbanismo y Ordenación del Territorio")</f>
        <v>1</v>
      </c>
      <c r="AF187" s="5">
        <f>COUNTIFS(   N4:N1440,"2021", D4:D1440,"Derecho, Medioambiente, Urbanismo y Ordenación del Territorio")</f>
        <v>1</v>
      </c>
      <c r="AG187" s="5">
        <f>COUNTIFS(   N4:N1440,"2022", D4:D1440,"Derecho, Medioambiente, Urbanismo y Ordenación del Territorio")</f>
        <v>1</v>
      </c>
      <c r="AH187" s="5">
        <f>COUNTIFS(   D4:D1440,"Derecho, Medioambiente, Urbanismo y Ordenación del Territorio",G4:G1440,"Sí")</f>
        <v>0</v>
      </c>
      <c r="AI187" s="5">
        <f>COUNTIFS(   D4:D1440,"Derecho, Medioambiente, Urbanismo y Ordenación del Territorio",G4:G1440,"No")</f>
        <v>3</v>
      </c>
      <c r="AJ187" s="5">
        <f>SUMIFS( E4:E1440, D4:D1440,"Derecho, Medioambiente, Urbanismo y Ordenación del Territorio",G4:G1440,"Sí")</f>
        <v>0</v>
      </c>
      <c r="AK187" s="5">
        <f>SUMIFS( E4:E1440, D4:D1440,"Derecho, Medioambiente, Urbanismo y Ordenación del Territorio",G4:G1440,"No")</f>
        <v>3</v>
      </c>
      <c r="AL187" s="5">
        <f>COUNTIFS(   D4:D1440,"Derecho, Medioambiente, Urbanismo y Ordenación del Territorio",H4:H1440,"Sí")</f>
        <v>1</v>
      </c>
      <c r="AM187" s="5">
        <f>COUNTIFS(   D4:D1440,"Derecho, Medioambiente, Urbanismo y Ordenación del Territorio",I4:I1440,"Sí")</f>
        <v>0</v>
      </c>
      <c r="AN187" s="5">
        <f>COUNTIFS(   D4:D1440,"Derecho, Medioambiente, Urbanismo y Ordenación del Territorio",I4:I1440,"No")</f>
        <v>3</v>
      </c>
      <c r="AO187" s="5">
        <f>SUMIFS( E4:E1440, D4:D1440,"Derecho, Medioambiente, Urbanismo y Ordenación del Territorio",I4:I1440,"Sí")</f>
        <v>0</v>
      </c>
      <c r="AP187" s="5">
        <f>SUMIFS( E4:E1440, D4:D1440,"Derecho, Medioambiente, Urbanismo y Ordenación del Territorio",I4:I1440,"No")</f>
        <v>3</v>
      </c>
      <c r="AQ187" s="5">
        <f>COUNTIFS(   D4:D1440,"Derecho, Medioambiente, Urbanismo y Ordenación del Territorio",J4:J1440,"Sí")</f>
        <v>3</v>
      </c>
      <c r="AR187" s="5">
        <f>COUNTIFS(   D4:D1440,"Derecho, Medioambiente, Urbanismo y Ordenación del Territorio",K4:K1440,"Sí")</f>
        <v>0</v>
      </c>
      <c r="AS187" s="5">
        <f>COUNTIFS(   D4:D1440,"Derecho, Medioambiente, Urbanismo y Ordenación del Territorio",L4:L1440,"Sí")</f>
        <v>0</v>
      </c>
      <c r="AT187" s="5">
        <f>SUMIFS( E4:E1440, D4:D1440,"Derecho, Medioambiente, Urbanismo y Ordenación del Territorio")</f>
        <v>3</v>
      </c>
      <c r="AU187" s="5">
        <f>SUMIFS( E4:E1440, F4:F1440,"Hombre", D4:D1440,"Derecho, Medioambiente, Urbanismo y Ordenación del Territorio")</f>
        <v>3</v>
      </c>
      <c r="AV187" s="5">
        <f>SUMIFS( E4:E1440, F4:F1440,"Mujer", D4:D1440,"Derecho, Medioambiente, Urbanismo y Ordenación del Territorio")</f>
        <v>0</v>
      </c>
      <c r="AW187" s="19">
        <f>SUMIFS( E4:E1440, A4:A1440,"2018", D4:D1440,"Derecho, Medioambiente, Urbanismo y Ordenación del Territorio")</f>
        <v>0</v>
      </c>
      <c r="AX187" s="5">
        <f>SUMIFS( E4:E1440, A4:A1440,"2019", D4:D1440,"Derecho, Medioambiente, Urbanismo y Ordenación del Territorio")</f>
        <v>0</v>
      </c>
      <c r="AY187" s="5">
        <f>SUMIFS( E4:E1440, A4:A1440,"2020", D4:D1440,"Derecho, Medioambiente, Urbanismo y Ordenación del Territorio")</f>
        <v>2</v>
      </c>
      <c r="AZ187" s="5">
        <f>SUMIFS( E4:E1440, A4:A1440,"2021", D4:D1440,"Derecho, Medioambiente, Urbanismo y Ordenación del Territorio")</f>
        <v>1</v>
      </c>
      <c r="BA187" s="5">
        <f>SUMIFS( E4:E1440, A4:A1440,"2022", D4:D1440,"Derecho, Medioambiente, Urbanismo y Ordenación del Territorio")</f>
        <v>0</v>
      </c>
      <c r="BB187" s="19">
        <f>SUMIFS( E4:E1440, N4:N1440,"2018", D4:D1440,"Derecho, Medioambiente, Urbanismo y Ordenación del Territorio")</f>
        <v>0</v>
      </c>
      <c r="BC187" s="5">
        <f>SUMIFS( E4:E1440, N4:N1440,"2019", D4:D1440,"Derecho, Medioambiente, Urbanismo y Ordenación del Territorio")</f>
        <v>0</v>
      </c>
      <c r="BD187" s="5">
        <f>SUMIFS( E4:E1440, N4:N1440,"2020", D4:D1440,"Derecho, Medioambiente, Urbanismo y Ordenación del Territorio")</f>
        <v>0</v>
      </c>
      <c r="BE187" s="5">
        <f>SUMIFS( E4:E1440, N4:N1440,"2021", D4:D1440,"Derecho, Medioambiente, Urbanismo y Ordenación del Territorio")</f>
        <v>2</v>
      </c>
      <c r="BF187" s="5">
        <f>SUMIFS( E4:E1440, N4:N1440,"2022", D4:D1440,"Derecho, Medioambiente, Urbanismo y Ordenación del Territorio")</f>
        <v>1</v>
      </c>
      <c r="BG187" s="14">
        <f>AVERAGEIFS( E4:E1440, D4:D1440,"Derecho, Medioambiente, Urbanismo y Ordenación del Territorio")</f>
        <v>1.5</v>
      </c>
      <c r="BH187" s="14"/>
      <c r="BI187" s="14"/>
      <c r="BJ187" s="14"/>
      <c r="BK187" s="14"/>
      <c r="BL187" s="37"/>
      <c r="BM187" s="14"/>
      <c r="BN187" s="14"/>
      <c r="BO187" s="14"/>
      <c r="BP187" s="14"/>
      <c r="BQ187" s="14"/>
      <c r="BR187" s="14"/>
    </row>
    <row r="188" spans="1:70" ht="15" customHeight="1">
      <c r="A188" s="24">
        <v>2018</v>
      </c>
      <c r="B188" s="24" t="s">
        <v>136</v>
      </c>
      <c r="C188" s="24" t="s">
        <v>176</v>
      </c>
      <c r="D188" s="24" t="s">
        <v>177</v>
      </c>
      <c r="E188" s="28">
        <v>5</v>
      </c>
      <c r="F188" s="24" t="s">
        <v>211</v>
      </c>
      <c r="G188" s="24" t="s">
        <v>225</v>
      </c>
      <c r="H188" s="23" t="s">
        <v>225</v>
      </c>
      <c r="I188" s="24" t="s">
        <v>226</v>
      </c>
      <c r="J188" s="23" t="s">
        <v>226</v>
      </c>
      <c r="K188" s="24" t="s">
        <v>226</v>
      </c>
      <c r="L188" s="23"/>
      <c r="M188" s="25">
        <v>43558</v>
      </c>
      <c r="N188" s="24">
        <v>2019</v>
      </c>
      <c r="O188" s="67" t="s">
        <v>159</v>
      </c>
      <c r="P188" s="68"/>
      <c r="Q188" s="68"/>
      <c r="R188" s="68"/>
      <c r="S188" s="68"/>
      <c r="T188" s="69"/>
      <c r="U188" s="5">
        <f>COUNTIFS(   D4:D1440,"Modelos de Estado, Derechos Fundamentales. Tutela judicial de derechos")</f>
        <v>9</v>
      </c>
      <c r="V188" s="5">
        <f>COUNTIFS(   D4:D1440,"Modelos de Estado, Derechos Fundamentales. Tutela judicial de derechos",F4:F1440,"Hombre")</f>
        <v>7</v>
      </c>
      <c r="W188" s="5">
        <f>COUNTIFS(   D4:D1440,"Modelos de Estado, Derechos Fundamentales. Tutela judicial de derechos",F4:F1440,"Mujer")</f>
        <v>2</v>
      </c>
      <c r="X188" s="19">
        <f>COUNTIFS(   A4:A1440,"2018", D4:D1440,"Modelos de Estado, Derechos Fundamentales. Tutela judicial de derechos")</f>
        <v>3</v>
      </c>
      <c r="Y188" s="5">
        <f>COUNTIFS(   A4:A1440,"2019", D4:D1440,"Modelos de Estado, Derechos Fundamentales. Tutela judicial de derechos")</f>
        <v>0</v>
      </c>
      <c r="Z188" s="5">
        <f>COUNTIFS(   A4:A1440,"2020", D4:D1440,"Modelos de Estado, Derechos Fundamentales. Tutela judicial de derechos")</f>
        <v>3</v>
      </c>
      <c r="AA188" s="5">
        <f>COUNTIFS(   A4:A1440,"2021", D4:D1440,"Modelos de Estado, Derechos Fundamentales. Tutela judicial de derechos")</f>
        <v>3</v>
      </c>
      <c r="AB188" s="5">
        <f>COUNTIFS(  A4:A1440,"2022", D4:D1440,"Modelos de Estado, Derechos Fundamentales. Tutela judicial de derechos")</f>
        <v>0</v>
      </c>
      <c r="AC188" s="19">
        <f>COUNTIFS(   N4:N1440,"2018", D4:D1440,"Modelos de Estado, Derechos Fundamentales. Tutela judicial de derechos")</f>
        <v>0</v>
      </c>
      <c r="AD188" s="5">
        <f>COUNTIFS(   N4:N1440,"2019", D4:D1440,"Modelos de Estado, Derechos Fundamentales. Tutela judicial de derechos")</f>
        <v>3</v>
      </c>
      <c r="AE188" s="5">
        <f>COUNTIFS(   N4:N1440,"2020", D4:D1440,"Modelos de Estado, Derechos Fundamentales. Tutela judicial de derechos")</f>
        <v>0</v>
      </c>
      <c r="AF188" s="5">
        <f>COUNTIFS(   N4:N1440,"2021", D4:D1440,"Modelos de Estado, Derechos Fundamentales. Tutela judicial de derechos")</f>
        <v>4</v>
      </c>
      <c r="AG188" s="5">
        <f>COUNTIFS(   N4:N1440,"2022", D4:D1440,"Modelos de Estado, Derechos Fundamentales. Tutela judicial de derechos")</f>
        <v>2</v>
      </c>
      <c r="AH188" s="5">
        <f>COUNTIFS(   D4:D1440,"Modelos de Estado, Derechos Fundamentales. Tutela judicial de derechos",G4:G1440,"Sí")</f>
        <v>5</v>
      </c>
      <c r="AI188" s="5">
        <f>COUNTIFS(   D4:D1440,"Modelos de Estado, Derechos Fundamentales. Tutela judicial de derechos",G4:G1440,"No")</f>
        <v>4</v>
      </c>
      <c r="AJ188" s="5">
        <f>SUMIFS( E4:E1440, D4:D1440,"Modelos de Estado, Derechos Fundamentales. Tutela judicial de derechos",G4:G1440,"Sí")</f>
        <v>41</v>
      </c>
      <c r="AK188" s="5">
        <f>SUMIFS( E4:E1440, D4:D1440,"Modelos de Estado, Derechos Fundamentales. Tutela judicial de derechos",G4:G1440,"No")</f>
        <v>3</v>
      </c>
      <c r="AL188" s="5">
        <f>COUNTIFS(   D4:D1440,"Modelos de Estado, Derechos Fundamentales. Tutela judicial de derechos",H4:H1440,"Sí")</f>
        <v>4</v>
      </c>
      <c r="AM188" s="5">
        <f>COUNTIFS(   D4:D1440,"Modelos de Estado, Derechos Fundamentales. Tutela judicial de derechos",I4:I1440,"Sí")</f>
        <v>1</v>
      </c>
      <c r="AN188" s="5">
        <f>COUNTIFS(   D4:D1440,"Modelos de Estado, Derechos Fundamentales. Tutela judicial de derechos",I4:I1440,"No")</f>
        <v>8</v>
      </c>
      <c r="AO188" s="5">
        <f>SUMIFS( E4:E1440, D4:D1440,"Modelos de Estado, Derechos Fundamentales. Tutela judicial de derechos",I4:I1440,"Sí")</f>
        <v>2</v>
      </c>
      <c r="AP188" s="5">
        <f>SUMIFS( E4:E1440, D4:D1440,"Modelos de Estado, Derechos Fundamentales. Tutela judicial de derechos",I4:I1440,"No")</f>
        <v>42</v>
      </c>
      <c r="AQ188" s="5">
        <f>COUNTIFS(   D4:D1440,"Modelos de Estado, Derechos Fundamentales. Tutela judicial de derechos",J4:J1440,"Sí")</f>
        <v>9</v>
      </c>
      <c r="AR188" s="5">
        <f>COUNTIFS(   D4:D1440,"Modelos de Estado, Derechos Fundamentales. Tutela judicial de derechos",K4:K1440,"Sí")</f>
        <v>1</v>
      </c>
      <c r="AS188" s="5">
        <f>COUNTIFS(   D4:D1440,"Modelos de Estado, Derechos Fundamentales. Tutela judicial de derechos",L4:L1440,"Sí")</f>
        <v>0</v>
      </c>
      <c r="AT188" s="5">
        <f>SUMIFS( E4:E1440, D4:D1440,"Modelos de Estado, Derechos Fundamentales. Tutela judicial de derechos")</f>
        <v>44</v>
      </c>
      <c r="AU188" s="5">
        <f>SUMIFS( E4:E1440, F4:F1440,"Hombre", D4:D1440,"Modelos de Estado, Derechos Fundamentales. Tutela judicial de derechos")</f>
        <v>42</v>
      </c>
      <c r="AV188" s="5">
        <f>SUMIFS( E4:E1440, F4:F1440,"Mujer", D4:D1440,"Modelos de Estado, Derechos Fundamentales. Tutela judicial de derechos")</f>
        <v>2</v>
      </c>
      <c r="AW188" s="19">
        <f>SUMIFS( E4:E1440, A4:A1440,"2018", D4:D1440,"Modelos de Estado, Derechos Fundamentales. Tutela judicial de derechos")</f>
        <v>3</v>
      </c>
      <c r="AX188" s="5">
        <f>SUMIFS( E4:E1440, A4:A1440,"2019", D4:D1440,"Modelos de Estado, Derechos Fundamentales. Tutela judicial de derechos")</f>
        <v>0</v>
      </c>
      <c r="AY188" s="5">
        <f>SUMIFS( E4:E1440, A4:A1440,"2020", D4:D1440,"Modelos de Estado, Derechos Fundamentales. Tutela judicial de derechos")</f>
        <v>41</v>
      </c>
      <c r="AZ188" s="5">
        <f>SUMIFS( E4:E1440, A4:A1440,"2021", D4:D1440,"Modelos de Estado, Derechos Fundamentales. Tutela judicial de derechos")</f>
        <v>0</v>
      </c>
      <c r="BA188" s="5">
        <f>SUMIFS( E4:E1440, A4:A1440,"2022", D4:D1440,"Modelos de Estado, Derechos Fundamentales. Tutela judicial de derechos")</f>
        <v>0</v>
      </c>
      <c r="BB188" s="19">
        <f>SUMIFS( E4:E1440, N4:N1440,"2018", D4:D1440,"Modelos de Estado, Derechos Fundamentales. Tutela judicial de derechos")</f>
        <v>0</v>
      </c>
      <c r="BC188" s="5">
        <f>SUMIFS( E4:E1440, N4:N1440,"2019", D4:D1440,"Modelos de Estado, Derechos Fundamentales. Tutela judicial de derechos")</f>
        <v>3</v>
      </c>
      <c r="BD188" s="5">
        <f>SUMIFS( E4:E1440, N4:N1440,"2020", D4:D1440,"Modelos de Estado, Derechos Fundamentales. Tutela judicial de derechos")</f>
        <v>0</v>
      </c>
      <c r="BE188" s="5">
        <f>SUMIFS( E4:E1440, N4:N1440,"2021", D4:D1440,"Modelos de Estado, Derechos Fundamentales. Tutela judicial de derechos")</f>
        <v>41</v>
      </c>
      <c r="BF188" s="5">
        <f>SUMIFS( E4:E1440, N4:N1440,"2022", D4:D1440,"Modelos de Estado, Derechos Fundamentales. Tutela judicial de derechos")</f>
        <v>0</v>
      </c>
      <c r="BG188" s="14">
        <f>AVERAGEIFS( E4:E1440, D4:D1440,"Modelos de Estado, Derechos Fundamentales. Tutela judicial de derechos")</f>
        <v>8.8000000000000007</v>
      </c>
      <c r="BH188" s="14">
        <v>0</v>
      </c>
      <c r="BI188" s="14">
        <v>0</v>
      </c>
      <c r="BJ188" s="14">
        <v>0</v>
      </c>
      <c r="BK188" s="14" t="e">
        <f>AVERAGEIFS( E4:E1440, A4:A1440,"2021", D4:D1440,"Modelos de Estado, Derechos Fundamentales. Tutela judicial de derechos")</f>
        <v>#DIV/0!</v>
      </c>
      <c r="BL188" s="37">
        <v>0</v>
      </c>
      <c r="BM188" s="14">
        <v>1.5</v>
      </c>
      <c r="BN188" s="14">
        <v>0</v>
      </c>
      <c r="BO188" s="14">
        <v>0</v>
      </c>
      <c r="BP188" s="14">
        <v>0</v>
      </c>
      <c r="BQ188" s="14">
        <v>1.5</v>
      </c>
      <c r="BR188" s="14">
        <v>0</v>
      </c>
    </row>
    <row r="189" spans="1:70" ht="15" customHeight="1">
      <c r="A189" s="24">
        <v>2018</v>
      </c>
      <c r="B189" s="24" t="s">
        <v>136</v>
      </c>
      <c r="C189" s="24" t="s">
        <v>176</v>
      </c>
      <c r="D189" s="24" t="s">
        <v>188</v>
      </c>
      <c r="E189" s="23">
        <v>10</v>
      </c>
      <c r="F189" s="24" t="s">
        <v>207</v>
      </c>
      <c r="G189" s="24" t="s">
        <v>225</v>
      </c>
      <c r="H189" s="23" t="s">
        <v>226</v>
      </c>
      <c r="I189" s="24" t="s">
        <v>226</v>
      </c>
      <c r="J189" s="23" t="s">
        <v>226</v>
      </c>
      <c r="K189" s="24" t="s">
        <v>226</v>
      </c>
      <c r="L189" s="23"/>
      <c r="M189" s="25">
        <v>43558</v>
      </c>
      <c r="N189" s="24">
        <v>2019</v>
      </c>
      <c r="O189" s="40" t="s">
        <v>72</v>
      </c>
      <c r="P189" s="43"/>
      <c r="Q189" s="43"/>
      <c r="R189" s="43"/>
      <c r="S189" s="43"/>
      <c r="T189" s="44"/>
      <c r="U189" s="4">
        <f>COUNTIFS(   C4:C1440,"Ciencias Sociales")</f>
        <v>30</v>
      </c>
      <c r="V189" s="4">
        <f>COUNTIFS(   C4:C1440,"Ciencias Sociales",F4:F1440,"Hombre")</f>
        <v>19</v>
      </c>
      <c r="W189" s="4">
        <f>COUNTIFS(   C4:C1440,"Ciencias Sociales",F4:F1440,"Mujer")</f>
        <v>11</v>
      </c>
      <c r="X189" s="18">
        <f>COUNTIFS(   A4:A1440,"2018", C4:C1440,"Ciencias Sociales")</f>
        <v>8</v>
      </c>
      <c r="Y189" s="4">
        <f>COUNTIFS(   A4:A1440,"2019", C4:C1440,"Ciencias Sociales")</f>
        <v>6</v>
      </c>
      <c r="Z189" s="4">
        <f>COUNTIFS(   A4:A1440,"2020", C4:C1440,"Ciencias Sociales")</f>
        <v>6</v>
      </c>
      <c r="AA189" s="4">
        <f>COUNTIFS(   A4:A1440,"2021", C4:C1440,"Ciencias Sociales")</f>
        <v>10</v>
      </c>
      <c r="AB189" s="4">
        <f>COUNTIFS(   A4:A1440,"2022", C4:C1440,"Ciencias Sociales")</f>
        <v>0</v>
      </c>
      <c r="AC189" s="18">
        <f>COUNTIFS(   N4:N1440,"2018", C4:C1440,"Ciencias Sociales")</f>
        <v>3</v>
      </c>
      <c r="AD189" s="4">
        <f>COUNTIFS(   N4:N1440,"2019", C4:C1440,"Ciencias Sociales")</f>
        <v>7</v>
      </c>
      <c r="AE189" s="4">
        <f>COUNTIFS(   N4:N1440,"2020", C4:C1440,"Ciencias Sociales")</f>
        <v>6</v>
      </c>
      <c r="AF189" s="4">
        <f>COUNTIFS(   N4:N1440,"2021", C4:C1440,"Ciencias Sociales")</f>
        <v>11</v>
      </c>
      <c r="AG189" s="4">
        <f>COUNTIFS(   N4:N1440,"2022", C4:C1440,"Ciencias Sociales")</f>
        <v>3</v>
      </c>
      <c r="AH189" s="4">
        <f>COUNTIFS(   C4:C1440,"Ciencias Sociales",G4:G1440,"Sí")</f>
        <v>1</v>
      </c>
      <c r="AI189" s="4">
        <f>COUNTIFS(   C4:C1440,"Ciencias Sociales",G4:G1440,"No")</f>
        <v>29</v>
      </c>
      <c r="AJ189" s="4">
        <f>SUMIFS( E4:E1440, C4:C1440,"Ciencias Sociales",G4:G1440,"Sí")</f>
        <v>1</v>
      </c>
      <c r="AK189" s="4">
        <f>SUMIFS( E4:E1440, C4:C1440,"Ciencias Sociales",G4:G1440,"No")</f>
        <v>96</v>
      </c>
      <c r="AL189" s="4">
        <f>COUNTIFS(   C4:C1440,"Ciencias Sociales",H4:H1440,"Sí")</f>
        <v>27</v>
      </c>
      <c r="AM189" s="4">
        <f>COUNTIFS(   C4:C1440,"Ciencias Sociales",I4:I1440,"Sí")</f>
        <v>16</v>
      </c>
      <c r="AN189" s="4">
        <f>COUNTIFS(   C4:C1440,"Ciencias Sociales",I4:I1440,"No")</f>
        <v>14</v>
      </c>
      <c r="AO189" s="4">
        <f>SUMIFS( E4:E1440, C4:C1440,"Ciencias Sociales",I4:I1440,"Sí")</f>
        <v>74</v>
      </c>
      <c r="AP189" s="4">
        <f>SUMIFS( E4:E1440, C4:C1440,"Ciencias Sociales",I4:I1440,"No")</f>
        <v>23</v>
      </c>
      <c r="AQ189" s="4">
        <f>COUNTIFS(   C4:C1440,"Ciencias Sociales",J4:J1440,"Sí")</f>
        <v>30</v>
      </c>
      <c r="AR189" s="4">
        <f>COUNTIFS(   C4:C1440,"Ciencias Sociales",K4:K1440,"Sí")</f>
        <v>11</v>
      </c>
      <c r="AS189" s="4">
        <f>COUNTIFS(   C4:C1440,"Ciencias Sociales",L4:L1440,"Sí")</f>
        <v>0</v>
      </c>
      <c r="AT189" s="4">
        <f>SUMIFS( E4:E1440, C4:C1440,"Ciencias Sociales")</f>
        <v>97</v>
      </c>
      <c r="AU189" s="4">
        <f>SUMIFS( E4:E1440, F4:F1440,"Hombre", C4:C1440,"Ciencias Sociales")</f>
        <v>71</v>
      </c>
      <c r="AV189" s="4">
        <f>SUMIFS( E4:E1440, F4:F1440,"Mujer", C4:C1440,"Ciencias Sociales")</f>
        <v>26</v>
      </c>
      <c r="AW189" s="18">
        <f>SUMIFS( E4:E1440, A4:A1440,"2018", C4:C1440,"Ciencias Sociales")</f>
        <v>38</v>
      </c>
      <c r="AX189" s="4">
        <f>SUMIFS( E4:E1440, A4:A1440,"2019", C4:C1440,"Ciencias Sociales")</f>
        <v>22</v>
      </c>
      <c r="AY189" s="4">
        <f>SUMIFS( E4:E1440, A4:A1440,"2020", C4:C1440,"Ciencias Sociales")</f>
        <v>18</v>
      </c>
      <c r="AZ189" s="4">
        <f>SUMIFS( E4:E1440, A4:A1440,"2021", C4:C1440,"Ciencias Sociales")</f>
        <v>19</v>
      </c>
      <c r="BA189" s="4">
        <f>SUMIFS( E4:E1440, A4:A1440,"2022", C4:C1440,"Ciencias Sociales")</f>
        <v>0</v>
      </c>
      <c r="BB189" s="18">
        <f>SUMIFS( E4:E1440, N4:N1440,"2018", C4:C1440,"Ciencias Sociales")</f>
        <v>17</v>
      </c>
      <c r="BC189" s="4">
        <f>SUMIFS( E4:E1440, N4:N1440,"2019", C4:C1440,"Ciencias Sociales")</f>
        <v>34</v>
      </c>
      <c r="BD189" s="4">
        <f>SUMIFS( E4:E1440, N4:N1440,"2020", C4:C1440,"Ciencias Sociales")</f>
        <v>16</v>
      </c>
      <c r="BE189" s="4">
        <f>SUMIFS( E4:E1440, N4:N1440,"2021", C4:C1440,"Ciencias Sociales")</f>
        <v>23</v>
      </c>
      <c r="BF189" s="4">
        <f>SUMIFS( E4:E1440, N4:N1440,"2022", C4:C1440,"Ciencias Sociales")</f>
        <v>7</v>
      </c>
      <c r="BG189" s="13">
        <f>AVERAGEIFS( E4:E1440, C4:C1440,"Ciencias Sociales")</f>
        <v>3.5925925925925926</v>
      </c>
      <c r="BH189" s="13">
        <v>0</v>
      </c>
      <c r="BI189" s="13">
        <v>0</v>
      </c>
      <c r="BJ189" s="13">
        <f>AVERAGEIFS( E4:E1440, A4:A1440,"2020", C4:C1440,"Ciencias Sociales")</f>
        <v>4.5</v>
      </c>
      <c r="BK189" s="13">
        <f>AVERAGEIFS( E4:E1440, A4:A1440,"2021", C4:C1440,"Ciencias Sociales")</f>
        <v>1.9</v>
      </c>
      <c r="BL189" s="37" t="e">
        <f>AVERAGEIFS( E4:E1440, A4:A1440,"2022", C4:C1440,"Ciencias Sociales")</f>
        <v>#DIV/0!</v>
      </c>
      <c r="BM189" s="13">
        <f>AVERAGE(AT190:AT199)</f>
        <v>9.6999999999999993</v>
      </c>
      <c r="BN189" s="13">
        <v>0</v>
      </c>
      <c r="BO189" s="13">
        <v>0</v>
      </c>
      <c r="BP189" s="13">
        <f>AVERAGE(AY190:AY199)</f>
        <v>1.8</v>
      </c>
      <c r="BQ189" s="13">
        <f>AVERAGE(AZ190:AZ199)</f>
        <v>1.9</v>
      </c>
      <c r="BR189" s="13">
        <f>AVERAGE(BA190:BA199)</f>
        <v>0</v>
      </c>
    </row>
    <row r="190" spans="1:70" ht="15" customHeight="1">
      <c r="A190" s="24">
        <v>2018</v>
      </c>
      <c r="B190" s="24" t="s">
        <v>78</v>
      </c>
      <c r="C190" s="24" t="s">
        <v>103</v>
      </c>
      <c r="D190" s="24" t="s">
        <v>319</v>
      </c>
      <c r="E190" s="23"/>
      <c r="F190" s="24" t="s">
        <v>211</v>
      </c>
      <c r="G190" s="23" t="s">
        <v>226</v>
      </c>
      <c r="H190" s="23" t="s">
        <v>225</v>
      </c>
      <c r="I190" s="24" t="s">
        <v>225</v>
      </c>
      <c r="J190" s="23" t="s">
        <v>226</v>
      </c>
      <c r="K190" s="24" t="s">
        <v>225</v>
      </c>
      <c r="L190" s="23"/>
      <c r="M190" s="25">
        <v>43560</v>
      </c>
      <c r="N190" s="24">
        <v>2019</v>
      </c>
      <c r="O190" s="67" t="s">
        <v>163</v>
      </c>
      <c r="P190" s="68"/>
      <c r="Q190" s="68"/>
      <c r="R190" s="68"/>
      <c r="S190" s="68"/>
      <c r="T190" s="69"/>
      <c r="U190" s="5">
        <f>COUNTIFS(   D4:D1440,"Antropología de la salud, el cuidado, las adicciones y el cuerpo")</f>
        <v>1</v>
      </c>
      <c r="V190" s="5">
        <f>COUNTIFS(   D4:D1440,"Antropología de la salud, el cuidado, las adicciones y el cuerpo",F4:F1440,"Hombre")</f>
        <v>1</v>
      </c>
      <c r="W190" s="5">
        <f>COUNTIFS(   D4:D1440,"Antropología de la salud, el cuidado, las adicciones y el cuerpo",F4:F1440,"Mujer")</f>
        <v>0</v>
      </c>
      <c r="X190" s="19">
        <f>COUNTIFS(   A4:A1440,"2018", D4:D1440,"Antropología de la salud, el cuidado, las adicciones y el cuerpo")</f>
        <v>1</v>
      </c>
      <c r="Y190" s="5">
        <f>COUNTIFS(   A4:A1440,"2019", D4:D1440,"Antropología de la salud, el cuidado, las adicciones y el cuerpo")</f>
        <v>0</v>
      </c>
      <c r="Z190" s="5">
        <f>COUNTIFS(   A4:A1440,"2020", D4:D1440,"Antropología de la salud, el cuidado, las adicciones y el cuerpo")</f>
        <v>0</v>
      </c>
      <c r="AA190" s="5">
        <f>COUNTIFS(   A4:A1440,"2021", D4:D1440,"Antropología de la salud, el cuidado, las adicciones y el cuerpo")</f>
        <v>0</v>
      </c>
      <c r="AB190" s="5">
        <f>COUNTIFS(  A4:A1440,"2022", D4:D1440,"Antropología de la salud, el cuidado, las adicciones y el cuerpo")</f>
        <v>0</v>
      </c>
      <c r="AC190" s="19">
        <f>COUNTIFS(   N4:N1440,"2018", D4:D1440,"Antropología de la salud, el cuidado, las adicciones y el cuerpo")</f>
        <v>1</v>
      </c>
      <c r="AD190" s="5">
        <f>COUNTIFS(   N4:N1440,"2019", D4:D1440,"Antropología de la salud, el cuidado, las adicciones y el cuerpo")</f>
        <v>0</v>
      </c>
      <c r="AE190" s="5">
        <f>COUNTIFS(   N4:N1440,"2020", D4:D1440,"Antropología de la salud, el cuidado, las adicciones y el cuerpo")</f>
        <v>0</v>
      </c>
      <c r="AF190" s="5">
        <f>COUNTIFS(   N4:N1440,"2021", D4:D1440,"Antropología de la salud, el cuidado, las adicciones y el cuerpo")</f>
        <v>0</v>
      </c>
      <c r="AG190" s="5">
        <f>COUNTIFS(   N4:N1440,"2022", D4:D1440,"Antropología de la salud, el cuidado, las adicciones y el cuerpo")</f>
        <v>0</v>
      </c>
      <c r="AH190" s="5">
        <f>COUNTIFS(   D4:D1440,"Antropología de la salud, el cuidado, las adicciones y el cuerpo",G4:G1440,"Sí")</f>
        <v>0</v>
      </c>
      <c r="AI190" s="5">
        <f>COUNTIFS(   D4:D1440,"Antropología de la salud, el cuidado, las adicciones y el cuerpo",G4:G1440,"No")</f>
        <v>1</v>
      </c>
      <c r="AJ190" s="5">
        <f>SUMIFS( E4:E1440, D4:D1440,"Antropología de la salud, el cuidado, las adicciones y el cuerpo",G4:G1440,"Sí")</f>
        <v>0</v>
      </c>
      <c r="AK190" s="5">
        <f>SUMIFS( E4:E1440, D4:D1440,"Antropología de la salud, el cuidado, las adicciones y el cuerpo",G4:G1440,"No")</f>
        <v>1</v>
      </c>
      <c r="AL190" s="5">
        <f>COUNTIFS(   D4:D1440,"Antropología de la salud, el cuidado, las adicciones y el cuerpo",H4:H1440,"Sí")</f>
        <v>1</v>
      </c>
      <c r="AM190" s="5">
        <f>COUNTIFS(   D4:D1440,"Antropología de la salud, el cuidado, las adicciones y el cuerpo",I4:I1440,"Sí")</f>
        <v>0</v>
      </c>
      <c r="AN190" s="5">
        <f>COUNTIFS(   D4:D1440,"Antropología de la salud, el cuidado, las adicciones y el cuerpo",I4:I1440,"No")</f>
        <v>1</v>
      </c>
      <c r="AO190" s="5">
        <f>SUMIFS( E4:E1440, D4:D1440,"Antropología de la salud, el cuidado, las adicciones y el cuerpo",I4:I1440,"Sí")</f>
        <v>0</v>
      </c>
      <c r="AP190" s="5">
        <f>SUMIFS( E4:E1440, D4:D1440,"Antropología de la salud, el cuidado, las adicciones y el cuerpo",I4:I1440,"No")</f>
        <v>1</v>
      </c>
      <c r="AQ190" s="5">
        <f>COUNTIFS(   D4:D1440,"Antropología de la salud, el cuidado, las adicciones y el cuerpo",J4:J1440,"Sí")</f>
        <v>1</v>
      </c>
      <c r="AR190" s="5">
        <f>COUNTIFS(   D4:D1440,"Antropología de la salud, el cuidado, las adicciones y el cuerpo",K4:K1440,"Sí")</f>
        <v>1</v>
      </c>
      <c r="AS190" s="5">
        <f>COUNTIFS(   D4:D1440,"Antropología de la salud, el cuidado, las adicciones y el cuerpo",L4:L1440,"Sí")</f>
        <v>0</v>
      </c>
      <c r="AT190" s="5">
        <f>SUMIFS( E4:E1440, D4:D1440,"Antropología de la salud, el cuidado, las adicciones y el cuerpo")</f>
        <v>1</v>
      </c>
      <c r="AU190" s="5">
        <f>SUMIFS( E4:E1440, F4:F1440,"Hombre", D4:D1440,"Antropología de la salud, el cuidado, las adicciones y el cuerpo")</f>
        <v>1</v>
      </c>
      <c r="AV190" s="5">
        <f>SUMIFS( E4:E1440, F4:F1440,"Mujer", D4:D1440,"Antropología de la salud, el cuidado, las adicciones y el cuerpo")</f>
        <v>0</v>
      </c>
      <c r="AW190" s="19">
        <f>SUMIFS( E4:E1440, A4:A1440,"2018", D4:D1440,"Antropología de la salud, el cuidado, las adicciones y el cuerpo")</f>
        <v>1</v>
      </c>
      <c r="AX190" s="5">
        <f>SUMIFS( E4:E1440, A4:A1440,"2019", D4:D1440,"Antropología de la salud, el cuidado, las adicciones y el cuerpo")</f>
        <v>0</v>
      </c>
      <c r="AY190" s="5">
        <f>SUMIFS( E4:E1440, A4:A1440,"2020", D4:D1440,"Antropología de la salud, el cuidado, las adicciones y el cuerpo")</f>
        <v>0</v>
      </c>
      <c r="AZ190" s="5">
        <f>SUMIFS( E4:E1440, A4:A1440,"2021", D4:D1440,"Antropología de la salud, el cuidado, las adicciones y el cuerpo")</f>
        <v>0</v>
      </c>
      <c r="BA190" s="5">
        <f>SUMIFS( E4:E1440, A4:A1440,"2022", D4:D1440,"Antropología de la salud, el cuidado, las adicciones y el cuerpo")</f>
        <v>0</v>
      </c>
      <c r="BB190" s="19">
        <f>SUMIFS( E4:E1440, N4:N1440,"2018", D4:D1440,"Antropología de la salud, el cuidado, las adicciones y el cuerpo")</f>
        <v>1</v>
      </c>
      <c r="BC190" s="5">
        <f>SUMIFS( E4:E1440, N4:N1440,"2019", D4:D1440,"Antropología de la salud, el cuidado, las adicciones y el cuerpo")</f>
        <v>0</v>
      </c>
      <c r="BD190" s="5">
        <f>SUMIFS( E4:E1440, N4:N1440,"2020", D4:D1440,"Antropología de la salud, el cuidado, las adicciones y el cuerpo")</f>
        <v>0</v>
      </c>
      <c r="BE190" s="5">
        <f>SUMIFS( E4:E1440, N4:N1440,"2021", D4:D1440,"Antropología de la salud, el cuidado, las adicciones y el cuerpo")</f>
        <v>0</v>
      </c>
      <c r="BF190" s="5">
        <f>SUMIFS( E4:E1440, N4:N1440,"2022", D4:D1440,"Antropología de la salud, el cuidado, las adicciones y el cuerpo")</f>
        <v>0</v>
      </c>
      <c r="BG190" s="14">
        <f>AVERAGEIFS( E4:E1440, D4:D1440,"Antropología de la salud, el cuidado, las adicciones y el cuerpo")</f>
        <v>1</v>
      </c>
      <c r="BH190" s="14">
        <v>0</v>
      </c>
      <c r="BI190" s="14">
        <v>0</v>
      </c>
      <c r="BJ190" s="14">
        <v>0</v>
      </c>
      <c r="BK190" s="14" t="e">
        <f>AVERAGEIFS( E4:E1440, A4:A1440,"2021", D4:D1440,"Antropología de la salud, el cuidado, las adicciones y el cuerpo")</f>
        <v>#DIV/0!</v>
      </c>
      <c r="BL190" s="37" t="e">
        <f>AVERAGEIFS( E4:E1440, A4:A1440,"2022", D4:D1440,"Antropología de la salud, el cuidado, las adicciones y el cuerpo")</f>
        <v>#DIV/0!</v>
      </c>
      <c r="BM190" s="14">
        <v>3.2</v>
      </c>
      <c r="BN190" s="14">
        <v>0</v>
      </c>
      <c r="BO190" s="14">
        <v>0</v>
      </c>
      <c r="BP190" s="14">
        <v>0</v>
      </c>
      <c r="BQ190" s="14">
        <v>4.333333333333333</v>
      </c>
      <c r="BR190" s="14">
        <v>1.5</v>
      </c>
    </row>
    <row r="191" spans="1:70" ht="15" customHeight="1">
      <c r="A191" s="24">
        <v>2018</v>
      </c>
      <c r="B191" s="24" t="s">
        <v>136</v>
      </c>
      <c r="C191" s="24" t="s">
        <v>176</v>
      </c>
      <c r="D191" s="24"/>
      <c r="E191" s="23">
        <v>8</v>
      </c>
      <c r="F191" s="24" t="s">
        <v>211</v>
      </c>
      <c r="G191" s="24" t="s">
        <v>225</v>
      </c>
      <c r="H191" s="23" t="s">
        <v>226</v>
      </c>
      <c r="I191" s="24" t="s">
        <v>226</v>
      </c>
      <c r="J191" s="23" t="s">
        <v>226</v>
      </c>
      <c r="K191" s="24" t="s">
        <v>226</v>
      </c>
      <c r="L191" s="23"/>
      <c r="M191" s="25">
        <v>43561</v>
      </c>
      <c r="N191" s="24">
        <v>2019</v>
      </c>
      <c r="O191" s="67" t="s">
        <v>161</v>
      </c>
      <c r="P191" s="68"/>
      <c r="Q191" s="68"/>
      <c r="R191" s="68"/>
      <c r="S191" s="68"/>
      <c r="T191" s="69"/>
      <c r="U191" s="5">
        <f>COUNTIFS(   D4:D1440,"Ciencia política y de la administración")</f>
        <v>5</v>
      </c>
      <c r="V191" s="5">
        <f>COUNTIFS(   D4:D1440,"Ciencia política y de la administración",F4:F1440,"Hombre")</f>
        <v>3</v>
      </c>
      <c r="W191" s="5">
        <f>COUNTIFS(   D4:D1440,"Ciencia política y de la administración",F4:F1440,"Mujer")</f>
        <v>2</v>
      </c>
      <c r="X191" s="19">
        <f>COUNTIFS(   A4:A1440,"2018", D4:D1440,"Ciencia política y de la administración")</f>
        <v>1</v>
      </c>
      <c r="Y191" s="5">
        <f>COUNTIFS(   A4:A1440,"2019", D4:D1440,"Ciencia política y de la administración")</f>
        <v>0</v>
      </c>
      <c r="Z191" s="5">
        <f>COUNTIFS(   A4:A1440,"2020", D4:D1440,"Ciencia política y de la administración")</f>
        <v>1</v>
      </c>
      <c r="AA191" s="5">
        <f>COUNTIFS(   A4:A1440,"2021", D4:D1440,"Ciencia política y de la administración")</f>
        <v>3</v>
      </c>
      <c r="AB191" s="5">
        <f>COUNTIFS(  A4:A1440,"2022", D4:D1440,"Ciencia política y de la administración")</f>
        <v>0</v>
      </c>
      <c r="AC191" s="19">
        <f>COUNTIFS(   N4:N1440,"2018", D4:D1440,"Ciencia política y de la administración")</f>
        <v>0</v>
      </c>
      <c r="AD191" s="5">
        <f>COUNTIFS(   N4:N1440,"2019", D4:D1440,"Ciencia política y de la administración")</f>
        <v>1</v>
      </c>
      <c r="AE191" s="5">
        <f>COUNTIFS(   N4:N1440,"2020", D4:D1440,"Ciencia política y de la administración")</f>
        <v>0</v>
      </c>
      <c r="AF191" s="5">
        <f>COUNTIFS(   N4:N1440,"2021", D4:D1440,"Ciencia política y de la administración")</f>
        <v>3</v>
      </c>
      <c r="AG191" s="5">
        <f>COUNTIFS(   N4:N1440,"2022", D4:D1440,"Ciencia política y de la administración")</f>
        <v>1</v>
      </c>
      <c r="AH191" s="5">
        <f>COUNTIFS(   D4:D1440,"Ciencia política y de la administración",G4:G1440,"Sí")</f>
        <v>0</v>
      </c>
      <c r="AI191" s="5">
        <f>COUNTIFS(   D4:D1440,"Ciencia política y de la administración",G4:G1440,"No")</f>
        <v>5</v>
      </c>
      <c r="AJ191" s="5">
        <f>SUMIFS( E4:E1440, D4:D1440,"Ciencia política y de la administración",G4:G1440,"Sí")</f>
        <v>0</v>
      </c>
      <c r="AK191" s="5">
        <f>SUMIFS( E4:E1440, D4:D1440,"Ciencia política y de la administración",G4:G1440,"No")</f>
        <v>7</v>
      </c>
      <c r="AL191" s="5">
        <f>COUNTIFS(   D4:D1440,"Ciencia política y de la administración",H4:H1440,"Sí")</f>
        <v>4</v>
      </c>
      <c r="AM191" s="5">
        <f>COUNTIFS(   D4:D1440,"Ciencia política y de la administración",I4:I1440,"Sí")</f>
        <v>4</v>
      </c>
      <c r="AN191" s="5">
        <f>COUNTIFS(   D4:D1440,"Ciencia política y de la administración",I4:I1440,"No")</f>
        <v>1</v>
      </c>
      <c r="AO191" s="5">
        <f>SUMIFS( E4:E1440, D4:D1440,"Ciencia política y de la administración",I4:I1440,"Sí")</f>
        <v>6</v>
      </c>
      <c r="AP191" s="5">
        <f>SUMIFS( E4:E1440, D4:D1440,"Ciencia política y de la administración",I4:I1440,"No")</f>
        <v>1</v>
      </c>
      <c r="AQ191" s="5">
        <f>COUNTIFS(   D4:D1440,"Ciencia política y de la administración",J4:J1440,"Sí")</f>
        <v>5</v>
      </c>
      <c r="AR191" s="5">
        <f>COUNTIFS(   D4:D1440,"Ciencia política y de la administración",K4:K1440,"Sí")</f>
        <v>1</v>
      </c>
      <c r="AS191" s="5">
        <f>COUNTIFS(   D4:D1440,"Ciencia política y de la administración",L4:L1440,"Sí")</f>
        <v>0</v>
      </c>
      <c r="AT191" s="5">
        <f>SUMIFS( E4:E1440, D4:D1440,"Ciencia política y de la administración")</f>
        <v>7</v>
      </c>
      <c r="AU191" s="5">
        <f>SUMIFS( E4:E1440, F4:F1440,"Hombre", D4:D1440,"Ciencia política y de la administración")</f>
        <v>6</v>
      </c>
      <c r="AV191" s="5">
        <f>SUMIFS( E4:E1440, F4:F1440,"Mujer", D4:D1440,"Ciencia política y de la administración")</f>
        <v>1</v>
      </c>
      <c r="AW191" s="19">
        <f>SUMIFS( E4:E1440, A4:A1440,"2018", D4:D1440,"Ciencia política y de la administración")</f>
        <v>1</v>
      </c>
      <c r="AX191" s="5">
        <f>SUMIFS( E4:E1440, A4:A1440,"2019", D4:D1440,"Ciencia política y de la administración")</f>
        <v>0</v>
      </c>
      <c r="AY191" s="5">
        <f>SUMIFS( E4:E1440, A4:A1440,"2020", D4:D1440,"Ciencia política y de la administración")</f>
        <v>0</v>
      </c>
      <c r="AZ191" s="5">
        <f>SUMIFS( E4:E1440, A4:A1440,"2021", D4:D1440,"Ciencia política y de la administración")</f>
        <v>6</v>
      </c>
      <c r="BA191" s="5">
        <f>SUMIFS( E4:E1440, A4:A1440,"2022", D4:D1440,"Ciencia política y de la administración")</f>
        <v>0</v>
      </c>
      <c r="BB191" s="19">
        <f>SUMIFS( E4:E1440, N4:N1440,"2018", D4:D1440,"Ciencia política y de la administración")</f>
        <v>0</v>
      </c>
      <c r="BC191" s="5">
        <f>SUMIFS( E4:E1440, N4:N1440,"2019", D4:D1440,"Ciencia política y de la administración")</f>
        <v>1</v>
      </c>
      <c r="BD191" s="5">
        <f>SUMIFS( E4:E1440, N4:N1440,"2020", D4:D1440,"Ciencia política y de la administración")</f>
        <v>0</v>
      </c>
      <c r="BE191" s="5">
        <f>SUMIFS( E4:E1440, N4:N1440,"2021", D4:D1440,"Ciencia política y de la administración")</f>
        <v>5</v>
      </c>
      <c r="BF191" s="5">
        <f>SUMIFS( E4:E1440, N4:N1440,"2022", D4:D1440,"Ciencia política y de la administración")</f>
        <v>1</v>
      </c>
      <c r="BG191" s="14">
        <f>AVERAGEIFS( E4:E1440, D4:D1440,"Ciencia política y de la administración")</f>
        <v>1.75</v>
      </c>
      <c r="BH191" s="14">
        <v>0</v>
      </c>
      <c r="BI191" s="14">
        <v>0</v>
      </c>
      <c r="BJ191" s="14">
        <v>0</v>
      </c>
      <c r="BK191" s="14">
        <v>0</v>
      </c>
      <c r="BL191" s="37" t="e">
        <f>AVERAGEIFS( E4:E1440, A4:A1440,"2022", D4:D1440,"Ciencia política y de la administración")</f>
        <v>#DIV/0!</v>
      </c>
      <c r="BM191" s="14">
        <v>5</v>
      </c>
      <c r="BN191" s="14">
        <v>0</v>
      </c>
      <c r="BO191" s="14">
        <v>0</v>
      </c>
      <c r="BP191" s="14">
        <v>0</v>
      </c>
      <c r="BQ191" s="14">
        <v>0</v>
      </c>
      <c r="BR191" s="14">
        <v>5</v>
      </c>
    </row>
    <row r="192" spans="1:70" ht="15" customHeight="1">
      <c r="A192" s="24">
        <v>2018</v>
      </c>
      <c r="B192" s="24" t="s">
        <v>136</v>
      </c>
      <c r="C192" s="24" t="s">
        <v>171</v>
      </c>
      <c r="D192" s="24" t="s">
        <v>174</v>
      </c>
      <c r="E192" s="23">
        <v>1</v>
      </c>
      <c r="F192" s="24" t="s">
        <v>207</v>
      </c>
      <c r="G192" s="24" t="s">
        <v>225</v>
      </c>
      <c r="H192" s="23" t="s">
        <v>226</v>
      </c>
      <c r="I192" s="24" t="s">
        <v>226</v>
      </c>
      <c r="J192" s="23" t="s">
        <v>226</v>
      </c>
      <c r="K192" s="24" t="s">
        <v>226</v>
      </c>
      <c r="L192" s="23"/>
      <c r="M192" s="25">
        <v>43561</v>
      </c>
      <c r="N192" s="24">
        <v>2019</v>
      </c>
      <c r="O192" s="67" t="s">
        <v>165</v>
      </c>
      <c r="P192" s="68"/>
      <c r="Q192" s="68"/>
      <c r="R192" s="68"/>
      <c r="S192" s="68"/>
      <c r="T192" s="69"/>
      <c r="U192" s="5">
        <f>COUNTIFS(   D4:D1440,"Comunicación audiovisual y periodismo")</f>
        <v>3</v>
      </c>
      <c r="V192" s="5">
        <f>COUNTIFS(   D4:D1440,"Comunicación audiovisual y periodismo",F4:F1440,"Hombre")</f>
        <v>2</v>
      </c>
      <c r="W192" s="5">
        <f>COUNTIFS(   D4:D1440,"Comunicación audiovisual y periodismo",F4:F1440,"Mujer")</f>
        <v>1</v>
      </c>
      <c r="X192" s="19">
        <f>COUNTIFS(   A4:A1440,"2018", D4:D1440,"Comunicación audiovisual y periodismo")</f>
        <v>1</v>
      </c>
      <c r="Y192" s="5">
        <f>COUNTIFS(   A4:A1440,"2019", D4:D1440,"Comunicación audiovisual y periodismo")</f>
        <v>0</v>
      </c>
      <c r="Z192" s="5">
        <f>COUNTIFS(   A4:A1440,"2020", D4:D1440,"Comunicación audiovisual y periodismo")</f>
        <v>1</v>
      </c>
      <c r="AA192" s="5">
        <f>COUNTIFS(   A4:A1440,"2021", D4:D1440,"Comunicación audiovisual y periodismo")</f>
        <v>1</v>
      </c>
      <c r="AB192" s="5">
        <f>COUNTIFS(  A4:A1440,"2022", D4:D1440,"Comunicación audiovisual y periodismo")</f>
        <v>0</v>
      </c>
      <c r="AC192" s="19">
        <f>COUNTIFS(   N4:N1440,"2018", D4:D1440,"Comunicación audiovisual y periodismo")</f>
        <v>0</v>
      </c>
      <c r="AD192" s="5">
        <f>COUNTIFS(   N4:N1440,"2019", D4:D1440,"Comunicación audiovisual y periodismo")</f>
        <v>1</v>
      </c>
      <c r="AE192" s="5">
        <f>COUNTIFS(   N4:N1440,"2020", D4:D1440,"Comunicación audiovisual y periodismo")</f>
        <v>1</v>
      </c>
      <c r="AF192" s="5">
        <f>COUNTIFS(   N4:N1440,"2021", D4:D1440,"Comunicación audiovisual y periodismo")</f>
        <v>1</v>
      </c>
      <c r="AG192" s="5">
        <f>COUNTIFS(   N4:N1440,"2022", D4:D1440,"Comunicación audiovisual y periodismo")</f>
        <v>0</v>
      </c>
      <c r="AH192" s="5">
        <f>COUNTIFS(   D4:D1440,"Comunicación audiovisual y periodismo",G4:G1440,"Sí")</f>
        <v>0</v>
      </c>
      <c r="AI192" s="5">
        <f>COUNTIFS(   D4:D1440,"Comunicación audiovisual y periodismo",G4:G1440,"No")</f>
        <v>3</v>
      </c>
      <c r="AJ192" s="5">
        <f>SUMIFS( E4:E1440, D4:D1440,"Comunicación audiovisual y periodismo",G4:G1440,"Sí")</f>
        <v>0</v>
      </c>
      <c r="AK192" s="5">
        <f>SUMIFS( E4:E1440, D4:D1440,"Comunicación audiovisual y periodismo",G4:G1440,"No")</f>
        <v>8</v>
      </c>
      <c r="AL192" s="5">
        <f>COUNTIFS(   D4:D1440,"Comunicación audiovisual y periodismo",H4:H1440,"Sí")</f>
        <v>3</v>
      </c>
      <c r="AM192" s="5">
        <f>COUNTIFS(   D4:D1440,"Comunicación audiovisual y periodismo",I4:I1440,"Sí")</f>
        <v>1</v>
      </c>
      <c r="AN192" s="5">
        <f>COUNTIFS(   D4:D1440,"Comunicación audiovisual y periodismo",I4:I1440,"No")</f>
        <v>2</v>
      </c>
      <c r="AO192" s="5">
        <f>SUMIFS( E4:E1440, D4:D1440,"Comunicación audiovisual y periodismo",I4:I1440,"Sí")</f>
        <v>6</v>
      </c>
      <c r="AP192" s="5">
        <f>SUMIFS( E4:E1440, D4:D1440,"Comunicación audiovisual y periodismo",I4:I1440,"No")</f>
        <v>2</v>
      </c>
      <c r="AQ192" s="5">
        <f>COUNTIFS(   D4:D1440,"Comunicación audiovisual y periodismo",J4:J1440,"Sí")</f>
        <v>3</v>
      </c>
      <c r="AR192" s="5">
        <f>COUNTIFS(   D4:D1440,"Comunicación audiovisual y periodismo",K4:K1440,"Sí")</f>
        <v>1</v>
      </c>
      <c r="AS192" s="5">
        <f>COUNTIFS(   D4:D1440,"Comunicación audiovisual y periodismo",L4:L1440,"Sí")</f>
        <v>0</v>
      </c>
      <c r="AT192" s="5">
        <f>SUMIFS( E4:E1440, D4:D1440,"Comunicación audiovisual y periodismo")</f>
        <v>8</v>
      </c>
      <c r="AU192" s="5">
        <f>SUMIFS( E4:E1440, F4:F1440,"Hombre", D4:D1440,"Comunicación audiovisual y periodismo")</f>
        <v>2</v>
      </c>
      <c r="AV192" s="5">
        <f>SUMIFS( E4:E1440, F4:F1440,"Mujer", D4:D1440,"Comunicación audiovisual y periodismo")</f>
        <v>6</v>
      </c>
      <c r="AW192" s="19">
        <f>SUMIFS( E4:E1440, A4:A1440,"2018", D4:D1440,"Comunicación audiovisual y periodismo")</f>
        <v>1</v>
      </c>
      <c r="AX192" s="5">
        <f>SUMIFS( E4:E1440, A4:A1440,"2019", D4:D1440,"Comunicación audiovisual y periodismo")</f>
        <v>0</v>
      </c>
      <c r="AY192" s="5">
        <f>SUMIFS( E4:E1440, A4:A1440,"2020", D4:D1440,"Comunicación audiovisual y periodismo")</f>
        <v>6</v>
      </c>
      <c r="AZ192" s="5">
        <f>SUMIFS( E4:E1440, A4:A1440,"2021", D4:D1440,"Comunicación audiovisual y periodismo")</f>
        <v>1</v>
      </c>
      <c r="BA192" s="5">
        <f>SUMIFS( E4:E1440, A4:A1440,"2022", D4:D1440,"Comunicación audiovisual y periodismo")</f>
        <v>0</v>
      </c>
      <c r="BB192" s="19">
        <f>SUMIFS( E4:E1440, N4:N1440,"2018", D4:D1440,"Comunicación audiovisual y periodismo")</f>
        <v>0</v>
      </c>
      <c r="BC192" s="5">
        <f>SUMIFS( E4:E1440, N4:N1440,"2019", D4:D1440,"Comunicación audiovisual y periodismo")</f>
        <v>1</v>
      </c>
      <c r="BD192" s="5">
        <f>SUMIFS( E4:E1440, N4:N1440,"2020", D4:D1440,"Comunicación audiovisual y periodismo")</f>
        <v>6</v>
      </c>
      <c r="BE192" s="5">
        <f>SUMIFS( E4:E1440, N4:N1440,"2021", D4:D1440,"Comunicación audiovisual y periodismo")</f>
        <v>1</v>
      </c>
      <c r="BF192" s="5">
        <f>SUMIFS( E4:E1440, N4:N1440,"2022", D4:D1440,"Comunicación audiovisual y periodismo")</f>
        <v>0</v>
      </c>
      <c r="BG192" s="14">
        <f>AVERAGEIFS( E4:E1440, D4:D1440,"Comunicación audiovisual y periodismo")</f>
        <v>2.6666666666666665</v>
      </c>
      <c r="BH192" s="14">
        <v>0</v>
      </c>
      <c r="BI192" s="14">
        <v>0</v>
      </c>
      <c r="BJ192" s="14">
        <v>0</v>
      </c>
      <c r="BK192" s="14">
        <f>AVERAGEIFS( E4:E1440, A4:A1440,"2021", D4:D1440,"Comunicación audiovisual y periodismo")</f>
        <v>1</v>
      </c>
      <c r="BL192" s="37">
        <v>0</v>
      </c>
      <c r="BM192" s="14">
        <v>2.6666666666666665</v>
      </c>
      <c r="BN192" s="14">
        <v>0</v>
      </c>
      <c r="BO192" s="14">
        <v>0</v>
      </c>
      <c r="BP192" s="14">
        <v>0</v>
      </c>
      <c r="BQ192" s="14">
        <v>2.6666666666666665</v>
      </c>
      <c r="BR192" s="14">
        <v>0</v>
      </c>
    </row>
    <row r="193" spans="1:70" ht="15" customHeight="1">
      <c r="A193" s="24">
        <v>2018</v>
      </c>
      <c r="B193" s="24" t="s">
        <v>136</v>
      </c>
      <c r="C193" s="24" t="s">
        <v>137</v>
      </c>
      <c r="D193" s="24" t="s">
        <v>138</v>
      </c>
      <c r="E193" s="23">
        <v>2</v>
      </c>
      <c r="F193" s="24" t="s">
        <v>211</v>
      </c>
      <c r="G193" s="24" t="s">
        <v>225</v>
      </c>
      <c r="H193" s="23" t="s">
        <v>226</v>
      </c>
      <c r="I193" s="24" t="s">
        <v>225</v>
      </c>
      <c r="J193" s="23" t="s">
        <v>226</v>
      </c>
      <c r="K193" s="24" t="s">
        <v>226</v>
      </c>
      <c r="L193" s="23"/>
      <c r="M193" s="25">
        <v>43562</v>
      </c>
      <c r="N193" s="24">
        <v>2019</v>
      </c>
      <c r="O193" s="67" t="s">
        <v>164</v>
      </c>
      <c r="P193" s="68"/>
      <c r="Q193" s="68"/>
      <c r="R193" s="68"/>
      <c r="S193" s="68"/>
      <c r="T193" s="69"/>
      <c r="U193" s="5">
        <f>COUNTIFS(   D4:D1440,"Cultura de paz")</f>
        <v>2</v>
      </c>
      <c r="V193" s="5">
        <f>COUNTIFS(   D4:D1440,"Cultura de paz",F4:F1440,"Hombre")</f>
        <v>1</v>
      </c>
      <c r="W193" s="5">
        <f>COUNTIFS(   D4:D1440,"Cultura de paz",F4:F1440,"Mujer")</f>
        <v>1</v>
      </c>
      <c r="X193" s="19">
        <f>COUNTIFS(   A4:A1440,"2018", D4:D1440,"Cultura de paz")</f>
        <v>1</v>
      </c>
      <c r="Y193" s="5">
        <f>COUNTIFS(   A4:A1440,"2019", D4:D1440,"Cultura de paz")</f>
        <v>0</v>
      </c>
      <c r="Z193" s="5">
        <f>COUNTIFS(   A4:A1440,"2020", D4:D1440,"Cultura de paz")</f>
        <v>1</v>
      </c>
      <c r="AA193" s="5">
        <f>COUNTIFS(   A4:A1440,"2021", D4:D1440,"Cultura de paz")</f>
        <v>0</v>
      </c>
      <c r="AB193" s="5">
        <f>COUNTIFS(  A4:A1440,"2022", D4:D1440,"Cultura de paz")</f>
        <v>0</v>
      </c>
      <c r="AC193" s="19">
        <f>COUNTIFS(   N4:N1440,"2018", D4:D1440,"Cultura de paz")</f>
        <v>1</v>
      </c>
      <c r="AD193" s="5">
        <f>COUNTIFS(   N4:N1440,"2019", D4:D1440,"Cultura de paz")</f>
        <v>0</v>
      </c>
      <c r="AE193" s="5">
        <f>COUNTIFS(   N4:N1440,"2020", D4:D1440,"Cultura de paz")</f>
        <v>0</v>
      </c>
      <c r="AF193" s="5">
        <f>COUNTIFS(   N4:N1440,"2021", D4:D1440,"Cultura de paz")</f>
        <v>1</v>
      </c>
      <c r="AG193" s="5">
        <f>COUNTIFS(   N4:N1440,"2022", D4:D1440,"Cultura de paz")</f>
        <v>0</v>
      </c>
      <c r="AH193" s="5">
        <f>COUNTIFS(   D4:D1440,"Cultura de paz",G4:G1440,"Sí")</f>
        <v>0</v>
      </c>
      <c r="AI193" s="5">
        <f>COUNTIFS(   D4:D1440,"Cultura de paz",G4:G1440,"No")</f>
        <v>2</v>
      </c>
      <c r="AJ193" s="5">
        <f>SUMIFS( E4:E1440, D4:D1440,"Cultura de paz",G4:G1440,"Sí")</f>
        <v>0</v>
      </c>
      <c r="AK193" s="5">
        <f>SUMIFS( E4:E1440, D4:D1440,"Cultura de paz",G4:G1440,"No")</f>
        <v>1</v>
      </c>
      <c r="AL193" s="5">
        <f>COUNTIFS(   D4:D1440,"Cultura de paz",H4:H1440,"Sí")</f>
        <v>1</v>
      </c>
      <c r="AM193" s="5">
        <f>COUNTIFS(   D4:D1440,"Cultura de paz",I4:I1440,"Sí")</f>
        <v>0</v>
      </c>
      <c r="AN193" s="5">
        <f>COUNTIFS(   D4:D1440,"Cultura de paz",I4:I1440,"No")</f>
        <v>2</v>
      </c>
      <c r="AO193" s="5">
        <f>SUMIFS( E4:E1440, D4:D1440,"Cultura de paz",I4:I1440,"Sí")</f>
        <v>0</v>
      </c>
      <c r="AP193" s="5">
        <f>SUMIFS( E4:E1440, D4:D1440,"Cultura de paz",I4:I1440,"No")</f>
        <v>1</v>
      </c>
      <c r="AQ193" s="5">
        <f>COUNTIFS(   D4:D1440,"Cultura de paz",J4:J1440,"Sí")</f>
        <v>2</v>
      </c>
      <c r="AR193" s="5">
        <f>COUNTIFS(   D4:D1440,"Cultura de paz",K4:K1440,"Sí")</f>
        <v>1</v>
      </c>
      <c r="AS193" s="5">
        <f>COUNTIFS(   D4:D1440,"Cultura de paz",L4:L1440,"Sí")</f>
        <v>0</v>
      </c>
      <c r="AT193" s="5">
        <f>SUMIFS( E4:E1440, D4:D1440,"Cultura de paz")</f>
        <v>1</v>
      </c>
      <c r="AU193" s="5">
        <f>SUMIFS( E4:E1440, F4:F1440,"Hombre", D4:D1440,"Cultura de paz")</f>
        <v>1</v>
      </c>
      <c r="AV193" s="5">
        <f>SUMIFS( E4:E1440, F4:F1440,"Mujer", D4:D1440,"Cultura de paz")</f>
        <v>0</v>
      </c>
      <c r="AW193" s="19">
        <f>SUMIFS( E4:E1440, A4:A1440,"2018", D4:D1440,"Cultura de paz")</f>
        <v>1</v>
      </c>
      <c r="AX193" s="5">
        <f>SUMIFS( E4:E1440, A4:A1440,"2019", D4:D1440,"Cultura de paz")</f>
        <v>0</v>
      </c>
      <c r="AY193" s="5">
        <f>SUMIFS( E4:E1440, A4:A1440,"2020", D4:D1440,"Cultura de paz")</f>
        <v>0</v>
      </c>
      <c r="AZ193" s="5">
        <f>SUMIFS( E4:E1440, A4:A1440,"2021", D4:D1440,"Cultura de paz")</f>
        <v>0</v>
      </c>
      <c r="BA193" s="5">
        <f>SUMIFS( E4:E1440, A4:A1440,"2022", D4:D1440,"Cultura de paz")</f>
        <v>0</v>
      </c>
      <c r="BB193" s="19">
        <f>SUMIFS( E4:E1440, N4:N1440,"2018", D4:D1440,"Cultura de paz")</f>
        <v>1</v>
      </c>
      <c r="BC193" s="5">
        <f>SUMIFS( E4:E1440, N4:N1440,"2019", D4:D1440,"Cultura de paz")</f>
        <v>0</v>
      </c>
      <c r="BD193" s="5">
        <f>SUMIFS( E4:E1440, N4:N1440,"2020", D4:D1440,"Cultura de paz")</f>
        <v>0</v>
      </c>
      <c r="BE193" s="5">
        <f>SUMIFS( E4:E1440, N4:N1440,"2021", D4:D1440,"Cultura de paz")</f>
        <v>0</v>
      </c>
      <c r="BF193" s="5">
        <f>SUMIFS( E4:E1440, N4:N1440,"2022", D4:D1440,"Cultura de paz")</f>
        <v>0</v>
      </c>
      <c r="BG193" s="14">
        <f>AVERAGEIFS( E4:E1440, D4:D1440,"Cultura de paz")</f>
        <v>1</v>
      </c>
      <c r="BH193" s="14">
        <v>0</v>
      </c>
      <c r="BI193" s="14">
        <v>0</v>
      </c>
      <c r="BJ193" s="14">
        <v>0</v>
      </c>
      <c r="BK193" s="14" t="e">
        <f>AVERAGEIFS( E4:E1440, A4:A1440,"2021", D4:D1440,"Cultura de paz")</f>
        <v>#DIV/0!</v>
      </c>
      <c r="BL193" s="37" t="e">
        <f>AVERAGEIFS( E4:E1440, A4:A1440,"2022", D4:D1440,"Cultura de paz")</f>
        <v>#DIV/0!</v>
      </c>
      <c r="BM193" s="14">
        <v>2</v>
      </c>
      <c r="BN193" s="14">
        <v>0</v>
      </c>
      <c r="BO193" s="14">
        <v>0</v>
      </c>
      <c r="BP193" s="14">
        <v>0</v>
      </c>
      <c r="BQ193" s="14">
        <v>3</v>
      </c>
      <c r="BR193" s="14">
        <v>1</v>
      </c>
    </row>
    <row r="194" spans="1:70" ht="15" customHeight="1">
      <c r="A194" s="24">
        <v>2018</v>
      </c>
      <c r="B194" s="24" t="s">
        <v>4</v>
      </c>
      <c r="C194" s="24" t="s">
        <v>31</v>
      </c>
      <c r="D194" s="24" t="s">
        <v>32</v>
      </c>
      <c r="E194" s="23">
        <v>1</v>
      </c>
      <c r="F194" s="24" t="s">
        <v>211</v>
      </c>
      <c r="G194" s="24" t="s">
        <v>225</v>
      </c>
      <c r="H194" s="23" t="s">
        <v>226</v>
      </c>
      <c r="I194" s="24" t="s">
        <v>225</v>
      </c>
      <c r="J194" s="23" t="s">
        <v>226</v>
      </c>
      <c r="K194" s="24" t="s">
        <v>226</v>
      </c>
      <c r="L194" s="23"/>
      <c r="M194" s="25">
        <v>43562</v>
      </c>
      <c r="N194" s="24">
        <v>2019</v>
      </c>
      <c r="O194" s="51" t="s">
        <v>306</v>
      </c>
      <c r="P194" s="52"/>
      <c r="Q194" s="52"/>
      <c r="R194" s="52"/>
      <c r="S194" s="52"/>
      <c r="T194" s="53"/>
      <c r="U194" s="5">
        <f>COUNTIFS(   D3:D1439,"Antropología y diversidad cultural: Cuidadanía, movilidad y conflicto")</f>
        <v>6</v>
      </c>
      <c r="V194" s="5">
        <f>COUNTIFS(   D3:D1439,"Antropología y diversidad cultural: Cuidadanía, movilidad y conflicto",F3:F1439,"Hombre")</f>
        <v>3</v>
      </c>
      <c r="W194" s="5">
        <f>COUNTIFS(   D3:D1439,"Antropología y diversidad cultural: Cuidadanía, movilidad y conflicto",F3:F1439,"Mujer")</f>
        <v>3</v>
      </c>
      <c r="X194" s="19">
        <f>COUNTIFS(   A3:A1439,"2018", D3:D1439,"Antropología y diversidad cultural: Cuidadanía, movilidad y conflicto")</f>
        <v>2</v>
      </c>
      <c r="Y194" s="5">
        <f>COUNTIFS(   A3:A1439,"2019", D3:D1439,"Antropología y diversidad cultural: Cuidadanía, movilidad y conflicto")</f>
        <v>1</v>
      </c>
      <c r="Z194" s="5">
        <f>COUNTIFS(   A3:A1439,"2020", D3:D1439,"Antropología y diversidad cultural: Cuidadanía, movilidad y conflicto")</f>
        <v>2</v>
      </c>
      <c r="AA194" s="5">
        <f>COUNTIFS(   A3:A1439,"2021", D3:D1439,"Antropología y diversidad cultural: Cuidadanía, movilidad y conflicto")</f>
        <v>1</v>
      </c>
      <c r="AB194" s="5">
        <f>COUNTIFS(  A3:A1439,"2022", D3:D1439,"Antropología y diversidad cultural: Cuidadanía, movilidad y conflicto")</f>
        <v>0</v>
      </c>
      <c r="AC194" s="19">
        <f>COUNTIFS(   N3:N1439,"2018", D3:D1439,"Antropología y diversidad cultural: Cuidadanía, movilidad y conflicto")</f>
        <v>0</v>
      </c>
      <c r="AD194" s="5">
        <f>COUNTIFS(   N3:N1439,"2019", D3:D1439,"Antropología y diversidad cultural: Cuidadanía, movilidad y conflicto")</f>
        <v>3</v>
      </c>
      <c r="AE194" s="5">
        <f>COUNTIFS(   N3:N1439,"2020", D3:D1439,"Antropología y diversidad cultural: Cuidadanía, movilidad y conflicto")</f>
        <v>0</v>
      </c>
      <c r="AF194" s="5">
        <f>COUNTIFS(   N3:N1439,"2021", D3:D1439,"Antropología y diversidad cultural: Cuidadanía, movilidad y conflicto")</f>
        <v>2</v>
      </c>
      <c r="AG194" s="5">
        <f>COUNTIFS(   N3:N1439,"2022", D3:D1439,"Antropología y diversidad cultural: Cuidadanía, movilidad y conflicto")</f>
        <v>1</v>
      </c>
      <c r="AH194" s="5">
        <f>COUNTIFS(   D3:D1439,"Antropología y diversidad cultural: Cuidadanía, movilidad y conflicto",G3:G1439,"Sí")</f>
        <v>0</v>
      </c>
      <c r="AI194" s="5">
        <f>COUNTIFS(   D3:D1439,"Antropología y diversidad cultural: Cuidadanía, movilidad y conflicto",G3:G1439,"No")</f>
        <v>6</v>
      </c>
      <c r="AJ194" s="5">
        <f>SUMIFS( E3:E1439, D3:D1439,"Antropología y diversidad cultural: Cuidadanía, movilidad y conflicto",G3:G1439,"Sí")</f>
        <v>0</v>
      </c>
      <c r="AK194" s="5">
        <f>SUMIFS( E3:E1439, D3:D1439,"Antropología y diversidad cultural: Cuidadanía, movilidad y conflicto",G3:G1439,"No")</f>
        <v>27</v>
      </c>
      <c r="AL194" s="5">
        <f>COUNTIFS(   D3:D1439,"Antropología y diversidad cultural: Cuidadanía, movilidad y conflicto",H3:H1439,"Sí")</f>
        <v>6</v>
      </c>
      <c r="AM194" s="5">
        <f>COUNTIFS(   D3:D1439,"Antropología y diversidad cultural: Cuidadanía, movilidad y conflicto",I3:I1439,"Sí")</f>
        <v>2</v>
      </c>
      <c r="AN194" s="5">
        <f>COUNTIFS(   D3:D1439,"Antropología y diversidad cultural: Cuidadanía, movilidad y conflicto",I3:I1439,"No")</f>
        <v>4</v>
      </c>
      <c r="AO194" s="5">
        <f>SUMIFS( E3:E1439, D3:D1439,"Antropología y diversidad cultural: Cuidadanía, movilidad y conflicto",I3:I1439,"Sí")</f>
        <v>13</v>
      </c>
      <c r="AP194" s="5">
        <f>SUMIFS( E3:E1439, D3:D1439,"Antropología y diversidad cultural: Cuidadanía, movilidad y conflicto",I3:I1439,"No")</f>
        <v>14</v>
      </c>
      <c r="AQ194" s="5">
        <f>COUNTIFS(   D3:D1439,"Antropología y diversidad cultural: Cuidadanía, movilidad y conflicto",J3:J1439,"Sí")</f>
        <v>6</v>
      </c>
      <c r="AR194" s="5">
        <f>COUNTIFS(   D3:D1439,"Antropología y diversidad cultural: Cuidadanía, movilidad y conflicto",K3:K1439,"Sí")</f>
        <v>3</v>
      </c>
      <c r="AS194" s="5">
        <f>COUNTIFS(   D3:D1439,"Antropología y diversidad cultural: Cuidadanía, movilidad y conflicto",L3:L1439,"Sí")</f>
        <v>0</v>
      </c>
      <c r="AT194" s="5">
        <f>SUMIFS( E3:E1439, D3:D1439,"Antropología y diversidad cultural: Cuidadanía, movilidad y conflicto")</f>
        <v>27</v>
      </c>
      <c r="AU194" s="5">
        <f>SUMIFS( E3:E1439, F3:F1439,"Hombre", D3:D1439,"Antropología y diversidad cultural: Cuidadanía, movilidad y conflicto")</f>
        <v>19</v>
      </c>
      <c r="AV194" s="5">
        <f>SUMIFS( E3:E1439, F3:F1439,"Mujer", D3:D1439,"Antropología y diversidad cultural: Cuidadanía, movilidad y conflicto")</f>
        <v>8</v>
      </c>
      <c r="AW194" s="19">
        <f>SUMIFS( E3:E1439, A3:A1439,"2018", D3:D1439,"Antropología y diversidad cultural: Cuidadanía, movilidad y conflicto")</f>
        <v>9</v>
      </c>
      <c r="AX194" s="5">
        <f>SUMIFS( E3:E1439, A3:A1439,"2019", D3:D1439,"Antropología y diversidad cultural: Cuidadanía, movilidad y conflicto")</f>
        <v>2</v>
      </c>
      <c r="AY194" s="5">
        <f>SUMIFS( E3:E1439, A3:A1439,"2020", D3:D1439,"Antropología y diversidad cultural: Cuidadanía, movilidad y conflicto")</f>
        <v>11</v>
      </c>
      <c r="AZ194" s="5">
        <f>SUMIFS( E3:E1439, A3:A1439,"2021", D3:D1439,"Antropología y diversidad cultural: Cuidadanía, movilidad y conflicto")</f>
        <v>5</v>
      </c>
      <c r="BA194" s="5">
        <f>SUMIFS( E3:E1439, A3:A1439,"2022", D3:D1439,"Antropología y diversidad cultural: Cuidadanía, movilidad y conflicto")</f>
        <v>0</v>
      </c>
      <c r="BB194" s="19">
        <f>SUMIFS( E3:E1439, N3:N1439,"2018", D3:D1439,"Antropología y diversidad cultural: Cuidadanía, movilidad y conflicto")</f>
        <v>0</v>
      </c>
      <c r="BC194" s="5">
        <f>SUMIFS( E3:E1439, N3:N1439,"2019", D3:D1439,"Antropología y diversidad cultural: Cuidadanía, movilidad y conflicto")</f>
        <v>11</v>
      </c>
      <c r="BD194" s="5">
        <f>SUMIFS( E3:E1439, N3:N1439,"2020", D3:D1439,"Antropología y diversidad cultural: Cuidadanía, movilidad y conflicto")</f>
        <v>0</v>
      </c>
      <c r="BE194" s="5">
        <f>SUMIFS( E3:E1439, N3:N1439,"2021", D3:D1439,"Antropología y diversidad cultural: Cuidadanía, movilidad y conflicto")</f>
        <v>11</v>
      </c>
      <c r="BF194" s="5">
        <f>SUMIFS( E3:E1439, N3:N1439,"2022", D3:D1439,"Antropología y diversidad cultural: Cuidadanía, movilidad y conflicto")</f>
        <v>5</v>
      </c>
      <c r="BG194" s="14">
        <f>AVERAGEIFS( E3:E1439, D3:D1439,"Antropología y diversidad cultural: Cuidadanía, movilidad y conflicto")</f>
        <v>4.5</v>
      </c>
      <c r="BH194" s="14"/>
      <c r="BI194" s="14"/>
      <c r="BJ194" s="14"/>
      <c r="BK194" s="14"/>
      <c r="BL194" s="37"/>
      <c r="BM194" s="14"/>
      <c r="BN194" s="14"/>
      <c r="BO194" s="14"/>
      <c r="BP194" s="14"/>
      <c r="BQ194" s="14"/>
      <c r="BR194" s="14"/>
    </row>
    <row r="195" spans="1:70" ht="15" customHeight="1">
      <c r="A195" s="24">
        <v>2018</v>
      </c>
      <c r="B195" s="24" t="s">
        <v>78</v>
      </c>
      <c r="C195" s="24" t="s">
        <v>79</v>
      </c>
      <c r="D195" s="24" t="s">
        <v>320</v>
      </c>
      <c r="E195" s="23">
        <v>7</v>
      </c>
      <c r="F195" s="24" t="s">
        <v>207</v>
      </c>
      <c r="G195" s="24" t="s">
        <v>225</v>
      </c>
      <c r="H195" s="23" t="s">
        <v>226</v>
      </c>
      <c r="I195" s="24" t="s">
        <v>225</v>
      </c>
      <c r="J195" s="23" t="s">
        <v>226</v>
      </c>
      <c r="K195" s="24" t="s">
        <v>226</v>
      </c>
      <c r="L195" s="23"/>
      <c r="M195" s="25">
        <v>43562</v>
      </c>
      <c r="N195" s="24">
        <v>2019</v>
      </c>
      <c r="O195" s="51" t="s">
        <v>612</v>
      </c>
      <c r="P195" s="52"/>
      <c r="Q195" s="52"/>
      <c r="R195" s="52"/>
      <c r="S195" s="52"/>
      <c r="T195" s="53"/>
      <c r="U195" s="5">
        <f>COUNTIFS(   D4:D1440,"Desarrollo de recursos humanos y nuevas tecnologías")</f>
        <v>1</v>
      </c>
      <c r="V195" s="5">
        <f>COUNTIFS(   D4:D1440,"Desarrollo de recursos humanos y nuevas tecnologías",F4:F1440,"Hombre")</f>
        <v>1</v>
      </c>
      <c r="W195" s="5">
        <f>COUNTIFS(   D4:D1440,"Desarrollo de recursos humanos y nuevas tecnologías",F4:F1440,"Mujer")</f>
        <v>0</v>
      </c>
      <c r="X195" s="19">
        <f>COUNTIFS(   A4:A1440,"2018", D4:D1440,"Desarrollo de recursos humanos y nuevas tecnologías")</f>
        <v>0</v>
      </c>
      <c r="Y195" s="5">
        <f>COUNTIFS(   A4:A1440,"2019", D4:D1440,"Desarrollo de recursos humanos y nuevas tecnologías")</f>
        <v>0</v>
      </c>
      <c r="Z195" s="5">
        <f>COUNTIFS(   A4:A1440,"2020", D4:D1440,"Desarrollo de recursos humanos y nuevas tecnologías")</f>
        <v>0</v>
      </c>
      <c r="AA195" s="5">
        <f>COUNTIFS(   A4:A1440,"2021", D4:D1440,"Desarrollo de recursos humanos y nuevas tecnologías")</f>
        <v>1</v>
      </c>
      <c r="AB195" s="5">
        <f>COUNTIFS(  A4:A1440,"2022", D4:D1440,"Desarrollo de recursos humanos y nuevas tecnologías")</f>
        <v>0</v>
      </c>
      <c r="AC195" s="19">
        <f>COUNTIFS(   N4:N1440,"2018", D4:D1440,"Desarrollo de recursos humanos y nuevas tecnologías")</f>
        <v>0</v>
      </c>
      <c r="AD195" s="5">
        <f>COUNTIFS(   N4:N1440,"2019", D4:D1440,"Desarrollo de recursos humanos y nuevas tecnologías")</f>
        <v>0</v>
      </c>
      <c r="AE195" s="5">
        <f>COUNTIFS(   N4:N1440,"2020", D4:D1440,"Desarrollo de recursos humanos y nuevas tecnologías")</f>
        <v>0</v>
      </c>
      <c r="AF195" s="5">
        <f>COUNTIFS(   N4:N1440,"2021", D4:D1440,"Desarrollo de recursos humanos y nuevas tecnologías")</f>
        <v>1</v>
      </c>
      <c r="AG195" s="5">
        <f>COUNTIFS(   N4:N1440,"2022", D4:D1440,"Desarrollo de recursos humanos y nuevas tecnologías")</f>
        <v>0</v>
      </c>
      <c r="AH195" s="5">
        <f>COUNTIFS(   D4:D1440,"Desarrollo de recursos humanos y nuevas tecnologías",G4:G1440,"Sí")</f>
        <v>0</v>
      </c>
      <c r="AI195" s="5">
        <f>COUNTIFS(   D4:D1440,"Desarrollo de recursos humanos y nuevas tecnologías",G4:G1440,"No")</f>
        <v>1</v>
      </c>
      <c r="AJ195" s="5">
        <f>SUMIFS( E4:E1440, D4:D1440,"Desarrollo de recursos humanos y nuevas tecnologías",G4:G1440,"Sí")</f>
        <v>0</v>
      </c>
      <c r="AK195" s="5">
        <f>SUMIFS( E4:E1440, D4:D1440,"Desarrollo de recursos humanos y nuevas tecnologías",G4:G1440,"No")</f>
        <v>1</v>
      </c>
      <c r="AL195" s="5">
        <f>COUNTIFS(   D4:D1440,"Desarrollo de recursos humanos y nuevas tecnologías",H4:H1440,"Sí")</f>
        <v>1</v>
      </c>
      <c r="AM195" s="5">
        <f>COUNTIFS(   D4:D1440,"Desarrollo de recursos humanos y nuevas tecnologías",I4:I1440,"Sí")</f>
        <v>1</v>
      </c>
      <c r="AN195" s="5">
        <f>COUNTIFS(   D4:D1440,"Desarrollo de recursos humanos y nuevas tecnologías",I4:I1440,"No")</f>
        <v>0</v>
      </c>
      <c r="AO195" s="5">
        <f>SUMIFS( E4:E1440, D4:D1440,"Desarrollo de recursos humanos y nuevas tecnologías",I4:I1440,"Sí")</f>
        <v>1</v>
      </c>
      <c r="AP195" s="5">
        <f>SUMIFS( E4:E1440, D4:D1440,"Desarrollo de recursos humanos y nuevas tecnologías",I4:I1440,"No")</f>
        <v>0</v>
      </c>
      <c r="AQ195" s="5">
        <f>COUNTIFS(   D4:D1440,"Desarrollo de recursos humanos y nuevas tecnologías",J4:J1440,"Sí")</f>
        <v>1</v>
      </c>
      <c r="AR195" s="5">
        <f>COUNTIFS(   D4:D1440,"Desarrollo de recursos humanos y nuevas tecnologías",K4:K1440,"Sí")</f>
        <v>0</v>
      </c>
      <c r="AS195" s="5">
        <f>COUNTIFS(   D4:D1440,"Desarrollo de recursos humanos y nuevas tecnologías",L4:L1440,"Sí")</f>
        <v>0</v>
      </c>
      <c r="AT195" s="5">
        <f>SUMIFS( E4:E1440, D4:D1440,"Desarrollo de recursos humanos y nuevas tecnologías")</f>
        <v>1</v>
      </c>
      <c r="AU195" s="5">
        <f>SUMIFS( E4:E1440, F4:F1440,"Hombre", D4:D1440,"Desarrollo de recursos humanos y nuevas tecnologías")</f>
        <v>1</v>
      </c>
      <c r="AV195" s="5">
        <f>SUMIFS( E4:E1440, F4:F1440,"Mujer", D4:D1440,"Desarrollo de recursos humanos y nuevas tecnologías")</f>
        <v>0</v>
      </c>
      <c r="AW195" s="19">
        <f>SUMIFS( E4:E1440, A4:A1440,"2018", D4:D1440,"Desarrollo de recursos humanos y nuevas tecnologías")</f>
        <v>0</v>
      </c>
      <c r="AX195" s="5">
        <f>SUMIFS( E4:E1440, A4:A1440,"2019", D4:D1440,"Desarrollo de recursos humanos y nuevas tecnologías")</f>
        <v>0</v>
      </c>
      <c r="AY195" s="5">
        <f>SUMIFS( E4:E1440, A4:A1440,"2020", D4:D1440,"Desarrollo de recursos humanos y nuevas tecnologías")</f>
        <v>0</v>
      </c>
      <c r="AZ195" s="5">
        <f>SUMIFS( E4:E1440, A4:A1440,"2021", D4:D1440,"Desarrollo de recursos humanos y nuevas tecnologías")</f>
        <v>1</v>
      </c>
      <c r="BA195" s="5">
        <f>SUMIFS( E4:E1440, A4:A1440,"2022", D4:D1440,"Desarrollo de recursos humanos y nuevas tecnologías")</f>
        <v>0</v>
      </c>
      <c r="BB195" s="19">
        <f>SUMIFS( E4:E1440, N4:N1440,"2018", D4:D1440,"Desarrollo de recursos humanos y nuevas tecnologías")</f>
        <v>0</v>
      </c>
      <c r="BC195" s="5">
        <f>SUMIFS( E4:E1440, N4:N1440,"2019", D4:D1440,"Desarrollo de recursos humanos y nuevas tecnologías")</f>
        <v>0</v>
      </c>
      <c r="BD195" s="5">
        <f>SUMIFS( E4:E1440, N4:N1440,"2020", D4:D1440,"Desarrollo de recursos humanos y nuevas tecnologías")</f>
        <v>0</v>
      </c>
      <c r="BE195" s="5">
        <f>SUMIFS( E4:E1440, N4:N1440,"2021", D4:D1440,"Desarrollo de recursos humanos y nuevas tecnologías")</f>
        <v>1</v>
      </c>
      <c r="BF195" s="5">
        <f>SUMIFS( E4:E1440, N4:N1440,"2022", D4:D1440,"Desarrollo de recursos humanos y nuevas tecnologías")</f>
        <v>0</v>
      </c>
      <c r="BG195" s="14">
        <f>AVERAGEIFS( E4:E1440, D4:D1440,"Desarrollo de recursos humanos y nuevas tecnologías")</f>
        <v>1</v>
      </c>
      <c r="BH195" s="14"/>
      <c r="BI195" s="14"/>
      <c r="BJ195" s="14"/>
      <c r="BK195" s="14"/>
      <c r="BL195" s="37"/>
      <c r="BM195" s="14"/>
      <c r="BN195" s="14"/>
      <c r="BO195" s="14"/>
      <c r="BP195" s="14"/>
      <c r="BQ195" s="14"/>
      <c r="BR195" s="14"/>
    </row>
    <row r="196" spans="1:70" ht="15" customHeight="1">
      <c r="A196" s="24">
        <v>2018</v>
      </c>
      <c r="B196" s="24" t="s">
        <v>136</v>
      </c>
      <c r="C196" s="24" t="s">
        <v>152</v>
      </c>
      <c r="D196" s="24"/>
      <c r="E196" s="23"/>
      <c r="F196" s="24" t="s">
        <v>211</v>
      </c>
      <c r="G196" s="24" t="s">
        <v>225</v>
      </c>
      <c r="H196" s="23" t="s">
        <v>225</v>
      </c>
      <c r="I196" s="24" t="s">
        <v>225</v>
      </c>
      <c r="J196" s="23" t="s">
        <v>226</v>
      </c>
      <c r="K196" s="24" t="s">
        <v>226</v>
      </c>
      <c r="L196" s="23"/>
      <c r="M196" s="25">
        <v>43562</v>
      </c>
      <c r="N196" s="24">
        <v>2019</v>
      </c>
      <c r="O196" s="51" t="s">
        <v>476</v>
      </c>
      <c r="P196" s="52"/>
      <c r="Q196" s="52"/>
      <c r="R196" s="52"/>
      <c r="S196" s="52"/>
      <c r="T196" s="53"/>
      <c r="U196" s="5">
        <f>COUNTIFS(   D4:D1440,"Trabajo social, bienestar social y políticas de protección social")</f>
        <v>1</v>
      </c>
      <c r="V196" s="5">
        <f>COUNTIFS(   D4:D1440,"Trabajo social, bienestar social y políticas de protección social",F4:F1440,"Hombre")</f>
        <v>0</v>
      </c>
      <c r="W196" s="5">
        <f>COUNTIFS(   D4:D1440,"Trabajo social, bienestar social y políticas de protección social",F4:F1440,"Mujer")</f>
        <v>1</v>
      </c>
      <c r="X196" s="19">
        <f>COUNTIFS(   A4:A1440,"2018", D4:D1440,"Trabajo social, bienestar social y políticas de protección social")</f>
        <v>0</v>
      </c>
      <c r="Y196" s="5">
        <f>COUNTIFS(   A4:A1440,"2019", D4:D1440,"Trabajo social, bienestar social y políticas de protección social")</f>
        <v>1</v>
      </c>
      <c r="Z196" s="5">
        <f>COUNTIFS(   A4:A1440,"2020", D4:D1440,"Trabajo social, bienestar social y políticas de protección social")</f>
        <v>0</v>
      </c>
      <c r="AA196" s="5">
        <f>COUNTIFS(   A4:A1440,"2021", D4:D1440,"Trabajo social, bienestar social y políticas de protección social")</f>
        <v>0</v>
      </c>
      <c r="AB196" s="5">
        <f>COUNTIFS(  A4:A1440,"2022", D4:D1440,"Trabajo social, bienestar social y políticas de protección social")</f>
        <v>0</v>
      </c>
      <c r="AC196" s="19">
        <f>COUNTIFS(   N4:N1440,"2018", D4:D1440,"Trabajo social, bienestar social y políticas de protección social")</f>
        <v>0</v>
      </c>
      <c r="AD196" s="5">
        <f>COUNTIFS(   N4:N1440,"2019", D4:D1440,"Trabajo social, bienestar social y políticas de protección social")</f>
        <v>0</v>
      </c>
      <c r="AE196" s="5">
        <f>COUNTIFS(   N4:N1440,"2020", D4:D1440,"Trabajo social, bienestar social y políticas de protección social")</f>
        <v>1</v>
      </c>
      <c r="AF196" s="5">
        <f>COUNTIFS(   N4:N1440,"2021", D4:D1440,"Trabajo social, bienestar social y políticas de protección social")</f>
        <v>0</v>
      </c>
      <c r="AG196" s="5">
        <f>COUNTIFS(   N4:N1440,"2022", D4:D1440,"Trabajo social, bienestar social y políticas de protección social")</f>
        <v>0</v>
      </c>
      <c r="AH196" s="5">
        <f>COUNTIFS(   D4:D1440,"Trabajo social, bienestar social y políticas de protección social",G4:G1440,"Sí")</f>
        <v>0</v>
      </c>
      <c r="AI196" s="5">
        <f>COUNTIFS(   D4:D1440,"Trabajo social, bienestar social y políticas de protección social",G4:G1440,"No")</f>
        <v>1</v>
      </c>
      <c r="AJ196" s="5">
        <f>SUMIFS( E4:E1440, D4:D1440,"Trabajo social, bienestar social y políticas de protección social",G4:G1440,"Sí")</f>
        <v>0</v>
      </c>
      <c r="AK196" s="5">
        <f>SUMIFS( E4:E1440, D4:D1440,"Trabajo social, bienestar social y políticas de protección social",G4:G1440,"No")</f>
        <v>5</v>
      </c>
      <c r="AL196" s="5">
        <f>COUNTIFS(   D4:D1440,"Trabajo social, bienestar social y políticas de protección social",H4:H1440,"Sí")</f>
        <v>1</v>
      </c>
      <c r="AM196" s="5">
        <f>COUNTIFS(   D4:D1440,"Trabajo social, bienestar social y políticas de protección social",I4:I1440,"Sí")</f>
        <v>1</v>
      </c>
      <c r="AN196" s="5">
        <f>COUNTIFS(   D4:D1440,"Trabajo social, bienestar social y políticas de protección social",I4:I1440,"No")</f>
        <v>0</v>
      </c>
      <c r="AO196" s="5">
        <f>SUMIFS( E4:E1440, D4:D1440,"Trabajo social, bienestar social y políticas de protección social",I4:I1440,"Sí")</f>
        <v>5</v>
      </c>
      <c r="AP196" s="5">
        <f>SUMIFS( E4:E1440, D4:D1440,"Trabajo social, bienestar social y políticas de protección social",I4:I1440,"No")</f>
        <v>0</v>
      </c>
      <c r="AQ196" s="5">
        <f>COUNTIFS(   D4:D1440,"Trabajo social, bienestar social y políticas de protección social",J4:J1440,"Sí")</f>
        <v>1</v>
      </c>
      <c r="AR196" s="5">
        <f>COUNTIFS(   D4:D1440,"Trabajo social, bienestar social y políticas de protección social",K4:K1440,"Sí")</f>
        <v>0</v>
      </c>
      <c r="AS196" s="5">
        <f>COUNTIFS(   D4:D1440,"Trabajo social, bienestar social y políticas de protección social",L4:L1440,"Sí")</f>
        <v>0</v>
      </c>
      <c r="AT196" s="5">
        <f>SUMIFS( E4:E1440, D4:D1440,"Trabajo social, bienestar social y políticas de protección social")</f>
        <v>5</v>
      </c>
      <c r="AU196" s="5">
        <f>SUMIFS( E4:E1440, F4:F1440,"Hombre", D4:D1440,"Trabajo social, bienestar social y políticas de protección social")</f>
        <v>0</v>
      </c>
      <c r="AV196" s="5">
        <f>SUMIFS( E4:E1440, F4:F1440,"Mujer", D4:D1440,"Trabajo social, bienestar social y políticas de protección social")</f>
        <v>5</v>
      </c>
      <c r="AW196" s="19">
        <f>SUMIFS( E4:E1440, A4:A1440,"2018", D4:D1440,"Trabajo social, bienestar social y políticas de protección social")</f>
        <v>0</v>
      </c>
      <c r="AX196" s="5">
        <f>SUMIFS( E4:E1440, A4:A1440,"2019", D4:D1440,"Trabajo social, bienestar social y políticas de protección social")</f>
        <v>5</v>
      </c>
      <c r="AY196" s="5">
        <f>SUMIFS( E4:E1440, A4:A1440,"2020", D4:D1440,"Trabajo social, bienestar social y políticas de protección social")</f>
        <v>0</v>
      </c>
      <c r="AZ196" s="5">
        <f>SUMIFS( E4:E1440, A4:A1440,"2021", D4:D1440,"Trabajo social, bienestar social y políticas de protección social")</f>
        <v>0</v>
      </c>
      <c r="BA196" s="5">
        <f>SUMIFS( E4:E1440, A4:A1440,"2022", D4:D1440,"Trabajo social, bienestar social y políticas de protección social")</f>
        <v>0</v>
      </c>
      <c r="BB196" s="19">
        <f>SUMIFS( E4:E1440, N4:N1440,"2018", D4:D1440,"Trabajo social, bienestar social y políticas de protección social")</f>
        <v>0</v>
      </c>
      <c r="BC196" s="5">
        <f>SUMIFS( E4:E1440, N4:N1440,"2019", D4:D1440,"Trabajo social, bienestar social y políticas de protección social")</f>
        <v>0</v>
      </c>
      <c r="BD196" s="5">
        <f>SUMIFS( E4:E1440, N4:N1440,"2020", D4:D1440,"Trabajo social, bienestar social y políticas de protección social")</f>
        <v>5</v>
      </c>
      <c r="BE196" s="5">
        <f>SUMIFS( E4:E1440, N4:N1440,"2021", D4:D1440,"Trabajo social, bienestar social y políticas de protección social")</f>
        <v>0</v>
      </c>
      <c r="BF196" s="5">
        <f>SUMIFS( E4:E1440, N4:N1440,"2022", D4:D1440,"Trabajo social, bienestar social y políticas de protección social")</f>
        <v>0</v>
      </c>
      <c r="BG196" s="14">
        <f>AVERAGEIFS( E4:E1440, D4:D1440,"Trabajo social, bienestar social y políticas de protección social")</f>
        <v>5</v>
      </c>
      <c r="BH196" s="14"/>
      <c r="BI196" s="14"/>
      <c r="BJ196" s="14"/>
      <c r="BK196" s="14"/>
      <c r="BL196" s="37"/>
      <c r="BM196" s="14"/>
      <c r="BN196" s="14"/>
      <c r="BO196" s="14"/>
      <c r="BP196" s="14"/>
      <c r="BQ196" s="14"/>
      <c r="BR196" s="14"/>
    </row>
    <row r="197" spans="1:70" ht="15" customHeight="1">
      <c r="A197" s="24">
        <v>2018</v>
      </c>
      <c r="B197" s="24" t="s">
        <v>78</v>
      </c>
      <c r="C197" s="24" t="s">
        <v>95</v>
      </c>
      <c r="D197" s="24" t="s">
        <v>101</v>
      </c>
      <c r="E197" s="23"/>
      <c r="F197" s="24" t="s">
        <v>207</v>
      </c>
      <c r="G197" s="24" t="s">
        <v>225</v>
      </c>
      <c r="H197" s="23" t="s">
        <v>225</v>
      </c>
      <c r="I197" s="24" t="s">
        <v>225</v>
      </c>
      <c r="J197" s="23" t="s">
        <v>226</v>
      </c>
      <c r="K197" s="24" t="s">
        <v>226</v>
      </c>
      <c r="L197" s="23"/>
      <c r="M197" s="25">
        <v>43562</v>
      </c>
      <c r="N197" s="24">
        <v>2019</v>
      </c>
      <c r="O197" s="67" t="s">
        <v>162</v>
      </c>
      <c r="P197" s="68"/>
      <c r="Q197" s="68"/>
      <c r="R197" s="68"/>
      <c r="S197" s="68"/>
      <c r="T197" s="69"/>
      <c r="U197" s="5">
        <f>COUNTIFS(   D4:D1440,"Dinámicas y cambios en el espacio y en la sociedad de la Globalización")</f>
        <v>2</v>
      </c>
      <c r="V197" s="5">
        <f>COUNTIFS(   D4:D1440,"Dinámicas y cambios en el espacio y en la sociedad de la Globalización",F4:F1440,"Hombre")</f>
        <v>1</v>
      </c>
      <c r="W197" s="5">
        <f>COUNTIFS(   D4:D1440,"Dinámicas y cambios en el espacio y en la sociedad de la Globalización",F4:F1440,"Mujer")</f>
        <v>1</v>
      </c>
      <c r="X197" s="19">
        <f>COUNTIFS(   A4:A1440,"2018", D4:D1440,"Dinámicas y cambios en el espacio y en la sociedad de la Globalización")</f>
        <v>0</v>
      </c>
      <c r="Y197" s="5">
        <f>COUNTIFS(   A4:A1440,"2019", D4:D1440,"Dinámicas y cambios en el espacio y en la sociedad de la Globalización")</f>
        <v>2</v>
      </c>
      <c r="Z197" s="5">
        <f>COUNTIFS(   A4:A1440,"2020", D4:D1440,"Dinámicas y cambios en el espacio y en la sociedad de la Globalización")</f>
        <v>0</v>
      </c>
      <c r="AA197" s="5">
        <f>COUNTIFS(   A4:A1440,"2021", D4:D1440,"Dinámicas y cambios en el espacio y en la sociedad de la Globalización")</f>
        <v>0</v>
      </c>
      <c r="AB197" s="5">
        <f>COUNTIFS(  A4:A1440,"2022", D4:D1440,"Dinámicas y cambios en el espacio y en la sociedad de la Globalización")</f>
        <v>0</v>
      </c>
      <c r="AC197" s="19">
        <f>COUNTIFS(   N4:N1440,"2018", D4:D1440,"Dinámicas y cambios en el espacio y en la sociedad de la Globalización")</f>
        <v>0</v>
      </c>
      <c r="AD197" s="5">
        <f>COUNTIFS(   N4:N1440,"2019", D4:D1440,"Dinámicas y cambios en el espacio y en la sociedad de la Globalización")</f>
        <v>0</v>
      </c>
      <c r="AE197" s="5">
        <f>COUNTIFS(   N4:N1440,"2020", D4:D1440,"Dinámicas y cambios en el espacio y en la sociedad de la Globalización")</f>
        <v>2</v>
      </c>
      <c r="AF197" s="5">
        <f>COUNTIFS(   N4:N1440,"2021", D4:D1440,"Dinámicas y cambios en el espacio y en la sociedad de la Globalización")</f>
        <v>0</v>
      </c>
      <c r="AG197" s="5">
        <f>COUNTIFS(   N4:N1440,"2022", D4:D1440,"Dinámicas y cambios en el espacio y en la sociedad de la Globalización")</f>
        <v>0</v>
      </c>
      <c r="AH197" s="5">
        <f>COUNTIFS(   D4:D1440,"Dinámicas y cambios en el espacio y en la sociedad de la Globalización",G4:G1440,"Sí")</f>
        <v>0</v>
      </c>
      <c r="AI197" s="5">
        <f>COUNTIFS(   D4:D1440,"Dinámicas y cambios en el espacio y en la sociedad de la Globalización",G4:G1440,"No")</f>
        <v>2</v>
      </c>
      <c r="AJ197" s="5">
        <f>SUMIFS( E4:E1440, D4:D1440,"Dinámicas y cambios en el espacio y en la sociedad de la Globalización",G4:G1440,"Sí")</f>
        <v>0</v>
      </c>
      <c r="AK197" s="5">
        <f>SUMIFS( E4:E1440, D4:D1440,"Dinámicas y cambios en el espacio y en la sociedad de la Globalización",G4:G1440,"No")</f>
        <v>4</v>
      </c>
      <c r="AL197" s="5">
        <f>COUNTIFS(   D4:D1440,"Dinámicas y cambios en el espacio y en la sociedad de la Globalización",H4:H1440,"Sí")</f>
        <v>2</v>
      </c>
      <c r="AM197" s="5">
        <f>COUNTIFS(   D4:D1440,"Dinámicas y cambios en el espacio y en la sociedad de la Globalización",I4:I1440,"Sí")</f>
        <v>1</v>
      </c>
      <c r="AN197" s="5">
        <f>COUNTIFS(   D4:D1440,"Dinámicas y cambios en el espacio y en la sociedad de la Globalización",I4:I1440,"No")</f>
        <v>1</v>
      </c>
      <c r="AO197" s="5">
        <f>SUMIFS( E4:E1440, D4:D1440,"Dinámicas y cambios en el espacio y en la sociedad de la Globalización",I4:I1440,"Sí")</f>
        <v>3</v>
      </c>
      <c r="AP197" s="5">
        <f>SUMIFS( E4:E1440, D4:D1440,"Dinámicas y cambios en el espacio y en la sociedad de la Globalización",I4:I1440,"No")</f>
        <v>1</v>
      </c>
      <c r="AQ197" s="5">
        <f>COUNTIFS(   D4:D1440,"Dinámicas y cambios en el espacio y en la sociedad de la Globalización",J4:J1440,"Sí")</f>
        <v>2</v>
      </c>
      <c r="AR197" s="5">
        <f>COUNTIFS(   D4:D1440,"Dinámicas y cambios en el espacio y en la sociedad de la Globalización",K4:K1440,"Sí")</f>
        <v>1</v>
      </c>
      <c r="AS197" s="5">
        <f>COUNTIFS(   D4:D1440,"Dinámicas y cambios en el espacio y en la sociedad de la Globalización",L4:L1440,"Sí")</f>
        <v>0</v>
      </c>
      <c r="AT197" s="5">
        <f>SUMIFS( E4:E1440, D4:D1440,"Dinámicas y cambios en el espacio y en la sociedad de la Globalización")</f>
        <v>4</v>
      </c>
      <c r="AU197" s="5">
        <f>SUMIFS( E4:E1440, F4:F1440,"Hombre", D4:D1440,"Dinámicas y cambios en el espacio y en la sociedad de la Globalización")</f>
        <v>1</v>
      </c>
      <c r="AV197" s="5">
        <f>SUMIFS( E4:E1440, F4:F1440,"Mujer", D4:D1440,"Dinámicas y cambios en el espacio y en la sociedad de la Globalización")</f>
        <v>3</v>
      </c>
      <c r="AW197" s="19">
        <f>SUMIFS( E4:E1440, A4:A1440,"2018", D4:D1440,"Dinámicas y cambios en el espacio y en la sociedad de la Globalización")</f>
        <v>0</v>
      </c>
      <c r="AX197" s="5">
        <f>SUMIFS( E4:E1440, A4:A1440,"2019", D4:D1440,"Dinámicas y cambios en el espacio y en la sociedad de la Globalización")</f>
        <v>4</v>
      </c>
      <c r="AY197" s="5">
        <f>SUMIFS( E4:E1440, A4:A1440,"2020", D4:D1440,"Dinámicas y cambios en el espacio y en la sociedad de la Globalización")</f>
        <v>0</v>
      </c>
      <c r="AZ197" s="5">
        <f>SUMIFS( E4:E1440, A4:A1440,"2021", D4:D1440,"Dinámicas y cambios en el espacio y en la sociedad de la Globalización")</f>
        <v>0</v>
      </c>
      <c r="BA197" s="5">
        <f>SUMIFS( E4:E1440, A4:A1440,"2022", D4:D1440,"Dinámicas y cambios en el espacio y en la sociedad de la Globalización")</f>
        <v>0</v>
      </c>
      <c r="BB197" s="19">
        <f>SUMIFS( E4:E1440, N4:N1440,"2018", D4:D1440,"Dinámicas y cambios en el espacio y en la sociedad de la Globalización")</f>
        <v>0</v>
      </c>
      <c r="BC197" s="5">
        <f>SUMIFS( E4:E1440, N4:N1440,"2019", D4:D1440,"Dinámicas y cambios en el espacio y en la sociedad de la Globalización")</f>
        <v>0</v>
      </c>
      <c r="BD197" s="5">
        <f>SUMIFS( E4:E1440, N4:N1440,"2020", D4:D1440,"Dinámicas y cambios en el espacio y en la sociedad de la Globalización")</f>
        <v>4</v>
      </c>
      <c r="BE197" s="5">
        <f>SUMIFS( E4:E1440, N4:N1440,"2021", D4:D1440,"Dinámicas y cambios en el espacio y en la sociedad de la Globalización")</f>
        <v>0</v>
      </c>
      <c r="BF197" s="5">
        <f>SUMIFS( E4:E1440, N4:N1440,"2022", D4:D1440,"Dinámicas y cambios en el espacio y en la sociedad de la Globalización")</f>
        <v>0</v>
      </c>
      <c r="BG197" s="14">
        <f>AVERAGEIFS( E4:E1440, D4:D1440,"Dinámicas y cambios en el espacio y en la sociedad de la Globalización")</f>
        <v>2</v>
      </c>
      <c r="BH197" s="14">
        <v>0</v>
      </c>
      <c r="BI197" s="14">
        <v>0</v>
      </c>
      <c r="BJ197" s="14">
        <v>0</v>
      </c>
      <c r="BK197" s="14">
        <v>0</v>
      </c>
      <c r="BL197" s="37" t="e">
        <f>AVERAGEIFS( E4:E1440, A4:A1440,"2022", D4:D1440,"Dinámicas y cambios en el espacio y en la sociedad de la Globalización")</f>
        <v>#DIV/0!</v>
      </c>
      <c r="BM197" s="14">
        <v>3</v>
      </c>
      <c r="BN197" s="14">
        <v>0</v>
      </c>
      <c r="BO197" s="14">
        <v>0</v>
      </c>
      <c r="BP197" s="14">
        <v>0</v>
      </c>
      <c r="BQ197" s="14">
        <v>0</v>
      </c>
      <c r="BR197" s="14">
        <v>3</v>
      </c>
    </row>
    <row r="198" spans="1:70" ht="15" customHeight="1">
      <c r="A198" s="24">
        <v>2018</v>
      </c>
      <c r="B198" s="24" t="s">
        <v>136</v>
      </c>
      <c r="C198" s="24" t="s">
        <v>682</v>
      </c>
      <c r="D198" s="24" t="s">
        <v>167</v>
      </c>
      <c r="E198" s="23">
        <v>3</v>
      </c>
      <c r="F198" s="24" t="s">
        <v>211</v>
      </c>
      <c r="G198" s="23" t="s">
        <v>226</v>
      </c>
      <c r="H198" s="23" t="s">
        <v>226</v>
      </c>
      <c r="I198" s="24" t="s">
        <v>225</v>
      </c>
      <c r="J198" s="23" t="s">
        <v>226</v>
      </c>
      <c r="K198" s="24" t="s">
        <v>225</v>
      </c>
      <c r="L198" s="23"/>
      <c r="M198" s="26" t="s">
        <v>321</v>
      </c>
      <c r="N198" s="24">
        <v>2019</v>
      </c>
      <c r="O198" s="67" t="s">
        <v>166</v>
      </c>
      <c r="P198" s="68"/>
      <c r="Q198" s="68"/>
      <c r="R198" s="68"/>
      <c r="S198" s="68"/>
      <c r="T198" s="69"/>
      <c r="U198" s="5">
        <f>COUNTIFS(   D4:D1440,"Información y comunicación científica")</f>
        <v>5</v>
      </c>
      <c r="V198" s="5">
        <f>COUNTIFS(   D4:D1440,"Información y comunicación científica",F4:F1440,"Hombre")</f>
        <v>4</v>
      </c>
      <c r="W198" s="5">
        <f>COUNTIFS(   D4:D1440,"Información y comunicación científica",F4:F1440,"Mujer")</f>
        <v>1</v>
      </c>
      <c r="X198" s="19">
        <f>COUNTIFS(   A4:A1440,"2018", D4:D1440,"Información y comunicación científica")</f>
        <v>2</v>
      </c>
      <c r="Y198" s="5">
        <f>COUNTIFS(   A4:A1440,"2019", D4:D1440,"Información y comunicación científica")</f>
        <v>1</v>
      </c>
      <c r="Z198" s="5">
        <f>COUNTIFS(   A4:A1440,"2020", D4:D1440,"Información y comunicación científica")</f>
        <v>1</v>
      </c>
      <c r="AA198" s="5">
        <f>COUNTIFS(   A4:A1440,"2021", D4:D1440,"Información y comunicación científica")</f>
        <v>1</v>
      </c>
      <c r="AB198" s="5">
        <f>COUNTIFS(  A4:A1440,"2022", D4:D1440,"Información y comunicación científica")</f>
        <v>0</v>
      </c>
      <c r="AC198" s="19">
        <f>COUNTIFS(   N4:N1440,"2018", D4:D1440,"Información y comunicación científica")</f>
        <v>1</v>
      </c>
      <c r="AD198" s="5">
        <f>COUNTIFS(   N4:N1440,"2019", D4:D1440,"Información y comunicación científica")</f>
        <v>2</v>
      </c>
      <c r="AE198" s="5">
        <f>COUNTIFS(   N4:N1440,"2020", D4:D1440,"Información y comunicación científica")</f>
        <v>1</v>
      </c>
      <c r="AF198" s="5">
        <f>COUNTIFS(   N4:N1440,"2021", D4:D1440,"Información y comunicación científica")</f>
        <v>0</v>
      </c>
      <c r="AG198" s="5">
        <f>COUNTIFS(   N4:N1440,"2022", D4:D1440,"Información y comunicación científica")</f>
        <v>1</v>
      </c>
      <c r="AH198" s="5">
        <f>COUNTIFS(   D4:D1440,"Información y comunicación científica",G4:G1440,"Sí")</f>
        <v>1</v>
      </c>
      <c r="AI198" s="5">
        <f>COUNTIFS(   D4:D1440,"Información y comunicación científica",G4:G1440,"No")</f>
        <v>4</v>
      </c>
      <c r="AJ198" s="5">
        <f>SUMIFS( E4:E1440, D4:D1440,"Información y comunicación científica",G4:G1440,"Sí")</f>
        <v>1</v>
      </c>
      <c r="AK198" s="5">
        <f>SUMIFS( E4:E1440, D4:D1440,"Información y comunicación científica",G4:G1440,"No")</f>
        <v>37</v>
      </c>
      <c r="AL198" s="5">
        <f>COUNTIFS(   D4:D1440,"Información y comunicación científica",H4:H1440,"Sí")</f>
        <v>5</v>
      </c>
      <c r="AM198" s="5">
        <f>COUNTIFS(   D4:D1440,"Información y comunicación científica",I4:I1440,"Sí")</f>
        <v>4</v>
      </c>
      <c r="AN198" s="5">
        <f>COUNTIFS(   D4:D1440,"Información y comunicación científica",I4:I1440,"No")</f>
        <v>1</v>
      </c>
      <c r="AO198" s="5">
        <f>SUMIFS( E4:E1440, D4:D1440,"Información y comunicación científica",I4:I1440,"Sí")</f>
        <v>37</v>
      </c>
      <c r="AP198" s="5">
        <f>SUMIFS( E4:E1440, D4:D1440,"Información y comunicación científica",I4:I1440,"No")</f>
        <v>1</v>
      </c>
      <c r="AQ198" s="5">
        <f>COUNTIFS(   D4:D1440,"Información y comunicación científica",J4:J1440,"Sí")</f>
        <v>5</v>
      </c>
      <c r="AR198" s="5">
        <f>COUNTIFS(   D4:D1440,"Información y comunicación científica",K4:K1440,"Sí")</f>
        <v>3</v>
      </c>
      <c r="AS198" s="5">
        <f>COUNTIFS(   D4:D1440,"Información y comunicación científica",L4:L1440,"Sí")</f>
        <v>0</v>
      </c>
      <c r="AT198" s="5">
        <f>SUMIFS( E4:E1440, D4:D1440,"Información y comunicación científica")</f>
        <v>38</v>
      </c>
      <c r="AU198" s="5">
        <f>SUMIFS( E4:E1440, F4:F1440,"Hombre", D4:D1440,"Información y comunicación científica")</f>
        <v>37</v>
      </c>
      <c r="AV198" s="5">
        <f>SUMIFS( E4:E1440, F4:F1440,"Mujer", D4:D1440,"Información y comunicación científica")</f>
        <v>1</v>
      </c>
      <c r="AW198" s="19">
        <f>SUMIFS( E4:E1440, A4:A1440,"2018", D4:D1440,"Información y comunicación científica")</f>
        <v>25</v>
      </c>
      <c r="AX198" s="5">
        <f>SUMIFS( E4:E1440, A4:A1440,"2019", D4:D1440,"Información y comunicación científica")</f>
        <v>11</v>
      </c>
      <c r="AY198" s="5">
        <f>SUMIFS( E4:E1440, A4:A1440,"2020", D4:D1440,"Información y comunicación científica")</f>
        <v>1</v>
      </c>
      <c r="AZ198" s="5">
        <f>SUMIFS( E4:E1440, A4:A1440,"2021", D4:D1440,"Información y comunicación científica")</f>
        <v>1</v>
      </c>
      <c r="BA198" s="5">
        <f>SUMIFS( E4:E1440, A4:A1440,"2022", D4:D1440,"Información y comunicación científica")</f>
        <v>0</v>
      </c>
      <c r="BB198" s="19">
        <f>SUMIFS( E4:E1440, N4:N1440,"2018", D4:D1440,"Información y comunicación científica")</f>
        <v>15</v>
      </c>
      <c r="BC198" s="5">
        <f>SUMIFS( E4:E1440, N4:N1440,"2019", D4:D1440,"Información y comunicación científica")</f>
        <v>21</v>
      </c>
      <c r="BD198" s="5">
        <f>SUMIFS( E4:E1440, N4:N1440,"2020", D4:D1440,"Información y comunicación científica")</f>
        <v>1</v>
      </c>
      <c r="BE198" s="5">
        <f>SUMIFS( E4:E1440, N4:N1440,"2021", D4:D1440,"Información y comunicación científica")</f>
        <v>0</v>
      </c>
      <c r="BF198" s="5">
        <f>SUMIFS( E4:E1440, N4:N1440,"2022", D4:D1440,"Información y comunicación científica")</f>
        <v>1</v>
      </c>
      <c r="BG198" s="14">
        <f>AVERAGEIFS( E4:E1440, D4:D1440,"Información y comunicación científica")</f>
        <v>7.6</v>
      </c>
      <c r="BH198" s="14">
        <v>0</v>
      </c>
      <c r="BI198" s="14">
        <v>0</v>
      </c>
      <c r="BJ198" s="14">
        <f>AVERAGEIFS( E4:E1440, A4:A1440,"2020", D4:D1440,"Información y comunicación científica")</f>
        <v>1</v>
      </c>
      <c r="BK198" s="14">
        <v>0</v>
      </c>
      <c r="BL198" s="37">
        <v>0</v>
      </c>
      <c r="BM198" s="14">
        <v>4</v>
      </c>
      <c r="BN198" s="14">
        <v>0</v>
      </c>
      <c r="BO198" s="14">
        <v>0</v>
      </c>
      <c r="BP198" s="14">
        <v>4</v>
      </c>
      <c r="BQ198" s="14">
        <v>0</v>
      </c>
      <c r="BR198" s="14">
        <v>0</v>
      </c>
    </row>
    <row r="199" spans="1:70" ht="15" customHeight="1">
      <c r="A199" s="24">
        <v>2018</v>
      </c>
      <c r="B199" s="24" t="s">
        <v>136</v>
      </c>
      <c r="C199" s="24" t="s">
        <v>682</v>
      </c>
      <c r="D199" s="24" t="s">
        <v>167</v>
      </c>
      <c r="E199" s="23"/>
      <c r="F199" s="24" t="s">
        <v>211</v>
      </c>
      <c r="G199" s="23" t="s">
        <v>226</v>
      </c>
      <c r="H199" s="23" t="s">
        <v>225</v>
      </c>
      <c r="I199" s="24" t="s">
        <v>225</v>
      </c>
      <c r="J199" s="23" t="s">
        <v>226</v>
      </c>
      <c r="K199" s="24" t="s">
        <v>226</v>
      </c>
      <c r="L199" s="23"/>
      <c r="M199" s="26" t="s">
        <v>321</v>
      </c>
      <c r="N199" s="24">
        <v>2019</v>
      </c>
      <c r="O199" s="73" t="s">
        <v>206</v>
      </c>
      <c r="P199" s="74"/>
      <c r="Q199" s="74"/>
      <c r="R199" s="74"/>
      <c r="S199" s="74"/>
      <c r="T199" s="75"/>
      <c r="U199" s="5">
        <f>COUNTIFS(   D4:D1440,"Problemas sociales y cursos vitales en la sociedad global")</f>
        <v>4</v>
      </c>
      <c r="V199" s="5">
        <f>COUNTIFS(   D4:D1440,"Problemas sociales y cursos vitales en la sociedad global",F4:F1440,"Hombre")</f>
        <v>3</v>
      </c>
      <c r="W199" s="5">
        <f>COUNTIFS(   D4:D1440,"Problemas sociales y cursos vitales en la sociedad global",F4:F1440,"Mujer")</f>
        <v>1</v>
      </c>
      <c r="X199" s="19">
        <f>COUNTIFS(   A4:A1440,"2018", D4:D1440,"Problemas sociales y cursos vitales en la sociedad global")</f>
        <v>0</v>
      </c>
      <c r="Y199" s="5">
        <f>COUNTIFS(   A4:A1440,"2019", D4:D1440,"Problemas sociales y cursos vitales en la sociedad global")</f>
        <v>1</v>
      </c>
      <c r="Z199" s="5">
        <f>COUNTIFS(   A4:A1440,"2020", D4:D1440,"Problemas sociales y cursos vitales en la sociedad global")</f>
        <v>0</v>
      </c>
      <c r="AA199" s="5">
        <f>COUNTIFS(   A4:A1440,"2021", D4:D1440,"Problemas sociales y cursos vitales en la sociedad global")</f>
        <v>3</v>
      </c>
      <c r="AB199" s="5">
        <f>COUNTIFS(  A4:A1440,"2022", D4:D1440,"Problemas sociales y cursos vitales en la sociedad global")</f>
        <v>0</v>
      </c>
      <c r="AC199" s="19">
        <f>COUNTIFS(   N4:N1440,"2018", D4:D1440,"Problemas sociales y cursos vitales en la sociedad global")</f>
        <v>0</v>
      </c>
      <c r="AD199" s="5">
        <f>COUNTIFS(   N4:N1440,"2019", D4:D1440,"Problemas sociales y cursos vitales en la sociedad global")</f>
        <v>0</v>
      </c>
      <c r="AE199" s="5">
        <f>COUNTIFS(   N4:N1440,"2020", D4:D1440,"Problemas sociales y cursos vitales en la sociedad global")</f>
        <v>1</v>
      </c>
      <c r="AF199" s="5">
        <f>COUNTIFS(   N4:N1440,"2021", D4:D1440,"Problemas sociales y cursos vitales en la sociedad global")</f>
        <v>3</v>
      </c>
      <c r="AG199" s="5">
        <f>COUNTIFS(   N4:N1440,"2022", D4:D1440,"Problemas sociales y cursos vitales en la sociedad global")</f>
        <v>0</v>
      </c>
      <c r="AH199" s="5">
        <f>COUNTIFS(   D4:D1440,"Problemas sociales y cursos vitales en la sociedad global",G4:G1440,"Sí")</f>
        <v>0</v>
      </c>
      <c r="AI199" s="5">
        <f>COUNTIFS(   D4:D1440,"Problemas sociales y cursos vitales en la sociedad global",G4:G1440,"No")</f>
        <v>4</v>
      </c>
      <c r="AJ199" s="5">
        <f>SUMIFS( E4:E1440, D4:D1440,"Problemas sociales y cursos vitales en la sociedad global",G4:G1440,"Sí")</f>
        <v>0</v>
      </c>
      <c r="AK199" s="5">
        <f>SUMIFS( E4:E1440, D4:D1440,"Problemas sociales y cursos vitales en la sociedad global",G4:G1440,"No")</f>
        <v>5</v>
      </c>
      <c r="AL199" s="5">
        <f>COUNTIFS(   D4:D1440,"Problemas sociales y cursos vitales en la sociedad global",H4:H1440,"Sí")</f>
        <v>3</v>
      </c>
      <c r="AM199" s="5">
        <f>COUNTIFS(   D4:D1440,"Problemas sociales y cursos vitales en la sociedad global",I4:I1440,"Sí")</f>
        <v>2</v>
      </c>
      <c r="AN199" s="5">
        <f>COUNTIFS(   D4:D1440,"Problemas sociales y cursos vitales en la sociedad global",I4:I1440,"No")</f>
        <v>2</v>
      </c>
      <c r="AO199" s="5">
        <f>SUMIFS( E4:E1440, D4:D1440,"Problemas sociales y cursos vitales en la sociedad global",I4:I1440,"Sí")</f>
        <v>3</v>
      </c>
      <c r="AP199" s="5">
        <f>SUMIFS( E4:E1440, D4:D1440,"Problemas sociales y cursos vitales en la sociedad global",I4:I1440,"No")</f>
        <v>2</v>
      </c>
      <c r="AQ199" s="5">
        <f>COUNTIFS(   D4:D1440,"Problemas sociales y cursos vitales en la sociedad global",J4:J1440,"Sí")</f>
        <v>4</v>
      </c>
      <c r="AR199" s="5">
        <f>COUNTIFS(   D4:D1440,"Problemas sociales y cursos vitales en la sociedad global",K4:K1440,"Sí")</f>
        <v>0</v>
      </c>
      <c r="AS199" s="5">
        <f>COUNTIFS(   D4:D1440,"Problemas sociales y cursos vitales en la sociedad global",L4:L1440,"Sí")</f>
        <v>0</v>
      </c>
      <c r="AT199" s="5">
        <f>SUMIFS( E4:E1440, D4:D1440,"Problemas sociales y cursos vitales en la sociedad global")</f>
        <v>5</v>
      </c>
      <c r="AU199" s="5">
        <f>SUMIFS( E4:E1440, F4:F1440,"Hombre", D4:D1440,"Problemas sociales y cursos vitales en la sociedad global")</f>
        <v>3</v>
      </c>
      <c r="AV199" s="5">
        <f>SUMIFS( E4:E1440, F4:F1440,"Mujer", D4:D1440,"Problemas sociales y cursos vitales en la sociedad global")</f>
        <v>2</v>
      </c>
      <c r="AW199" s="19">
        <f>SUMIFS( E4:E1440, A4:A1440,"2018", D4:D1440,"Problemas sociales y cursos vitales en la sociedad global")</f>
        <v>0</v>
      </c>
      <c r="AX199" s="5">
        <f>SUMIFS( E4:E1440, A4:A1440,"2019", D4:D1440,"Problemas sociales y cursos vitales en la sociedad global")</f>
        <v>0</v>
      </c>
      <c r="AY199" s="5">
        <f>SUMIFS( E4:E1440, A4:A1440,"2020", D4:D1440,"Problemas sociales y cursos vitales en la sociedad global")</f>
        <v>0</v>
      </c>
      <c r="AZ199" s="5">
        <f>SUMIFS( E4:E1440, A4:A1440,"2021", D4:D1440,"Problemas sociales y cursos vitales en la sociedad global")</f>
        <v>5</v>
      </c>
      <c r="BA199" s="5">
        <f>SUMIFS( E4:E1440, A4:A1440,"2022", D4:D1440,"Problemas sociales y cursos vitales en la sociedad global")</f>
        <v>0</v>
      </c>
      <c r="BB199" s="19">
        <f>SUMIFS( E4:E1440, N4:N1440,"2018", D4:D1440,"Problemas sociales y cursos vitales en la sociedad global")</f>
        <v>0</v>
      </c>
      <c r="BC199" s="5">
        <f>SUMIFS( E4:E1440, N4:N1440,"2019", D4:D1440,"Problemas sociales y cursos vitales en la sociedad global")</f>
        <v>0</v>
      </c>
      <c r="BD199" s="5">
        <f>SUMIFS( E4:E1440, N4:N1440,"2020", D4:D1440,"Problemas sociales y cursos vitales en la sociedad global")</f>
        <v>0</v>
      </c>
      <c r="BE199" s="5">
        <f>SUMIFS( E4:E1440, N4:N1440,"2021", D4:D1440,"Problemas sociales y cursos vitales en la sociedad global")</f>
        <v>5</v>
      </c>
      <c r="BF199" s="5">
        <f>SUMIFS( E4:E1440, N4:N1440,"2022", D4:D1440,"Problemas sociales y cursos vitales en la sociedad global")</f>
        <v>0</v>
      </c>
      <c r="BG199" s="14">
        <f>AVERAGEIFS( E4:E1440, D4:D1440,"Problemas sociales y cursos vitales en la sociedad global")</f>
        <v>1.6666666666666667</v>
      </c>
      <c r="BH199" s="14">
        <v>0</v>
      </c>
      <c r="BI199" s="14">
        <v>0</v>
      </c>
      <c r="BJ199" s="14">
        <v>0</v>
      </c>
      <c r="BK199" s="14">
        <v>0</v>
      </c>
      <c r="BL199" s="37" t="e">
        <f>AVERAGEIFS( E4:E1440, A4:A1440,"2022", D4:D1440,"Problemas sociales y cursos vitales en la sociedad global")</f>
        <v>#DIV/0!</v>
      </c>
      <c r="BM199" s="14">
        <v>1</v>
      </c>
      <c r="BN199" s="14">
        <v>0</v>
      </c>
      <c r="BO199" s="14">
        <v>0</v>
      </c>
      <c r="BP199" s="14">
        <v>0</v>
      </c>
      <c r="BQ199" s="14">
        <v>0</v>
      </c>
      <c r="BR199" s="14">
        <v>1</v>
      </c>
    </row>
    <row r="200" spans="1:70" ht="15" customHeight="1">
      <c r="A200" s="24">
        <v>2018</v>
      </c>
      <c r="B200" s="24" t="s">
        <v>4</v>
      </c>
      <c r="C200" s="24" t="s">
        <v>23</v>
      </c>
      <c r="D200" s="24" t="s">
        <v>27</v>
      </c>
      <c r="E200" s="23">
        <v>5</v>
      </c>
      <c r="F200" s="24" t="s">
        <v>207</v>
      </c>
      <c r="G200" s="24" t="s">
        <v>225</v>
      </c>
      <c r="H200" s="23" t="s">
        <v>226</v>
      </c>
      <c r="I200" s="24" t="s">
        <v>226</v>
      </c>
      <c r="J200" s="23" t="s">
        <v>226</v>
      </c>
      <c r="K200" s="24" t="s">
        <v>226</v>
      </c>
      <c r="L200" s="23"/>
      <c r="M200" s="26" t="s">
        <v>322</v>
      </c>
      <c r="N200" s="24">
        <v>2019</v>
      </c>
      <c r="O200" s="40" t="s">
        <v>73</v>
      </c>
      <c r="P200" s="43"/>
      <c r="Q200" s="43"/>
      <c r="R200" s="43"/>
      <c r="S200" s="43"/>
      <c r="T200" s="44"/>
      <c r="U200" s="4">
        <f>COUNTIFS(   C4:C1440,"Estudios de las Mujeres, Discursos y Prácticas de Género")</f>
        <v>22</v>
      </c>
      <c r="V200" s="4">
        <f>COUNTIFS(   C4:C1440,"Estudios de las Mujeres, Discursos y Prácticas de Género",F4:F1440,"Hombre")</f>
        <v>2</v>
      </c>
      <c r="W200" s="4">
        <f>COUNTIFS(   C4:C1440,"Estudios de las Mujeres, Discursos y Prácticas de Género",F4:F1440,"Mujer")</f>
        <v>20</v>
      </c>
      <c r="X200" s="18">
        <f>COUNTIFS(   A4:A1440,"2018", C4:C1440,"Estudios de las Mujeres, Discursos y Prácticas de Género")</f>
        <v>4</v>
      </c>
      <c r="Y200" s="4">
        <f>COUNTIFS(   A4:A1440,"2019", C4:C1440,"Estudios de las Mujeres, Discursos y Prácticas de Género")</f>
        <v>7</v>
      </c>
      <c r="Z200" s="4">
        <f>COUNTIFS(   A4:A1440,"2020", C4:C1440,"Estudios de las Mujeres, Discursos y Prácticas de Género")</f>
        <v>8</v>
      </c>
      <c r="AA200" s="4">
        <f>COUNTIFS(   A4:A1440,"2021", C4:C1440,"Estudios de las Mujeres, Discursos y Prácticas de Género")</f>
        <v>3</v>
      </c>
      <c r="AB200" s="4">
        <f>COUNTIFS(   A4:A1440,"2022", C4:C1440,"Estudios de las Mujeres, Discursos y Prácticas de Género")</f>
        <v>0</v>
      </c>
      <c r="AC200" s="18">
        <f>COUNTIFS(   N4:N1440,"2018", C4:C1440,"Estudios de las Mujeres, Discursos y Prácticas de Género")</f>
        <v>1</v>
      </c>
      <c r="AD200" s="4">
        <f>COUNTIFS(   N4:N1440,"2019", C4:C1440,"Estudios de las Mujeres, Discursos y Prácticas de Género")</f>
        <v>8</v>
      </c>
      <c r="AE200" s="4">
        <f>COUNTIFS(   N4:N1440,"2020", C4:C1440,"Estudios de las Mujeres, Discursos y Prácticas de Género")</f>
        <v>3</v>
      </c>
      <c r="AF200" s="4">
        <f>COUNTIFS(   N4:N1440,"2021", C4:C1440,"Estudios de las Mujeres, Discursos y Prácticas de Género")</f>
        <v>9</v>
      </c>
      <c r="AG200" s="4">
        <f>COUNTIFS(   N4:N1440,"2022", C4:C1440,"Estudios de las Mujeres, Discursos y Prácticas de Género")</f>
        <v>1</v>
      </c>
      <c r="AH200" s="4">
        <f>COUNTIFS(   C4:C1440,"Estudios de las Mujeres, Discursos y Prácticas de Género",G4:G1440,"Sí")</f>
        <v>9</v>
      </c>
      <c r="AI200" s="4">
        <f>COUNTIFS(   C4:C1440,"Estudios de las Mujeres, Discursos y Prácticas de Género",G4:G1440,"No")</f>
        <v>13</v>
      </c>
      <c r="AJ200" s="4">
        <f>SUMIFS( E4:E1440, C4:C1440,"Estudios de las Mujeres, Discursos y Prácticas de Género",G4:G1440,"Sí")</f>
        <v>17</v>
      </c>
      <c r="AK200" s="4">
        <f>SUMIFS( E4:E1440, C4:C1440,"Estudios de las Mujeres, Discursos y Prácticas de Género",G4:G1440,"No")</f>
        <v>25</v>
      </c>
      <c r="AL200" s="4">
        <f>COUNTIFS(   C4:C1440,"Estudios de las Mujeres, Discursos y Prácticas de Género",H4:H1440,"Sí")</f>
        <v>12</v>
      </c>
      <c r="AM200" s="4">
        <f>COUNTIFS(   C4:C1440,"Estudios de las Mujeres, Discursos y Prácticas de Género",I4:I1440,"Sí")</f>
        <v>7</v>
      </c>
      <c r="AN200" s="4">
        <f>COUNTIFS(   C4:C1440,"Estudios de las Mujeres, Discursos y Prácticas de Género",I4:I1440,"No")</f>
        <v>15</v>
      </c>
      <c r="AO200" s="4">
        <f>SUMIFS( E4:E1440, C4:C1440,"Estudios de las Mujeres, Discursos y Prácticas de Género",I4:I1440,"Sí")</f>
        <v>22</v>
      </c>
      <c r="AP200" s="4">
        <f>SUMIFS( E4:E1440, C4:C1440,"Estudios de las Mujeres, Discursos y Prácticas de Género",I4:I1440,"No")</f>
        <v>20</v>
      </c>
      <c r="AQ200" s="4">
        <f>COUNTIFS(   C4:C1440,"Estudios de las Mujeres, Discursos y Prácticas de Género",J4:J1440,"Sí")</f>
        <v>22</v>
      </c>
      <c r="AR200" s="4">
        <f>COUNTIFS(   C4:C1440,"Estudios de las Mujeres, Discursos y Prácticas de Género",K4:K1440,"Sí")</f>
        <v>6</v>
      </c>
      <c r="AS200" s="4">
        <f>COUNTIFS(   C4:C1440,"Estudios de las Mujeres, Discursos y Prácticas de Género",L4:L1440,"Sí")</f>
        <v>0</v>
      </c>
      <c r="AT200" s="4">
        <f>SUMIFS( E4:E1440, C4:C1440,"Estudios de las Mujeres, Discursos y Prácticas de Género")</f>
        <v>42</v>
      </c>
      <c r="AU200" s="4">
        <f>SUMIFS( E4:E1440, F4:F1440,"Hombre", C4:C1440,"Estudios de las Mujeres, Discursos y Prácticas de Género")</f>
        <v>2</v>
      </c>
      <c r="AV200" s="4">
        <f>SUMIFS( E4:E1440, F4:F1440,"Mujer", C4:C1440,"Estudios de las Mujeres, Discursos y Prácticas de Género")</f>
        <v>40</v>
      </c>
      <c r="AW200" s="18">
        <f>SUMIFS( E4:E1440, A4:A1440,"2018", C4:C1440,"Estudios de las Mujeres, Discursos y Prácticas de Género")</f>
        <v>3</v>
      </c>
      <c r="AX200" s="4">
        <f>SUMIFS( E4:E1440, A4:A1440,"2019", C4:C1440,"Estudios de las Mujeres, Discursos y Prácticas de Género")</f>
        <v>13</v>
      </c>
      <c r="AY200" s="4">
        <f>SUMIFS( E4:E1440, A4:A1440,"2020", C4:C1440,"Estudios de las Mujeres, Discursos y Prácticas de Género")</f>
        <v>17</v>
      </c>
      <c r="AZ200" s="4">
        <f>SUMIFS( E4:E1440, A4:A1440,"2021", C4:C1440,"Estudios de las Mujeres, Discursos y Prácticas de Género")</f>
        <v>9</v>
      </c>
      <c r="BA200" s="4">
        <f>SUMIFS( E4:E1440, A4:A1440,"2022", C4:C1440,"Estudios de las Mujeres, Discursos y Prácticas de Género")</f>
        <v>0</v>
      </c>
      <c r="BB200" s="18">
        <f>SUMIFS( E4:E1440, N4:N1440,"2018", C4:C1440,"Estudios de las Mujeres, Discursos y Prácticas de Género")</f>
        <v>0</v>
      </c>
      <c r="BC200" s="4">
        <f>SUMIFS( E4:E1440, N4:N1440,"2019", C4:C1440,"Estudios de las Mujeres, Discursos y Prácticas de Género")</f>
        <v>13</v>
      </c>
      <c r="BD200" s="4">
        <f>SUMIFS( E4:E1440, N4:N1440,"2020", C4:C1440,"Estudios de las Mujeres, Discursos y Prácticas de Género")</f>
        <v>12</v>
      </c>
      <c r="BE200" s="4">
        <f>SUMIFS( E4:E1440, N4:N1440,"2021", C4:C1440,"Estudios de las Mujeres, Discursos y Prácticas de Género")</f>
        <v>13</v>
      </c>
      <c r="BF200" s="4">
        <f>SUMIFS( E4:E1440, N4:N1440,"2022", C4:C1440,"Estudios de las Mujeres, Discursos y Prácticas de Género")</f>
        <v>4</v>
      </c>
      <c r="BG200" s="13">
        <f>AVERAGEIFS( E4:E1440, C4:C1440,"Estudios de las Mujeres, Discursos y Prácticas de Género")</f>
        <v>3.2307692307692308</v>
      </c>
      <c r="BH200" s="13">
        <v>0</v>
      </c>
      <c r="BI200" s="13">
        <v>0</v>
      </c>
      <c r="BJ200" s="13">
        <v>0</v>
      </c>
      <c r="BK200" s="13">
        <f>AVERAGEIFS( E4:E1440, A4:A1440,"2021", C4:C1440,"Estudios de las Mujeres, Discursos y Prácticas de Género")</f>
        <v>4.5</v>
      </c>
      <c r="BL200" s="37" t="e">
        <f>AVERAGEIFS( E4:E1440, A4:A1440,"2022", C4:C1440,"Estudios de las Mujeres, Discursos y Prácticas de Género")</f>
        <v>#DIV/0!</v>
      </c>
      <c r="BM200" s="13">
        <f>AVERAGE(AT201)</f>
        <v>42</v>
      </c>
      <c r="BN200" s="13">
        <v>0</v>
      </c>
      <c r="BO200" s="13">
        <v>0</v>
      </c>
      <c r="BP200" s="13">
        <v>0</v>
      </c>
      <c r="BQ200" s="13">
        <f>AVERAGE(AZ201)</f>
        <v>9</v>
      </c>
      <c r="BR200" s="13">
        <v>0</v>
      </c>
    </row>
    <row r="201" spans="1:70" ht="15" customHeight="1">
      <c r="A201" s="24">
        <v>2018</v>
      </c>
      <c r="B201" s="24" t="s">
        <v>136</v>
      </c>
      <c r="C201" s="24" t="s">
        <v>152</v>
      </c>
      <c r="D201" s="24"/>
      <c r="E201" s="28">
        <v>1</v>
      </c>
      <c r="F201" s="24" t="s">
        <v>211</v>
      </c>
      <c r="G201" s="24" t="s">
        <v>225</v>
      </c>
      <c r="H201" s="23" t="s">
        <v>225</v>
      </c>
      <c r="I201" s="24" t="s">
        <v>225</v>
      </c>
      <c r="J201" s="23" t="s">
        <v>226</v>
      </c>
      <c r="K201" s="24" t="s">
        <v>226</v>
      </c>
      <c r="L201" s="23"/>
      <c r="M201" s="26" t="s">
        <v>323</v>
      </c>
      <c r="N201" s="24">
        <v>2019</v>
      </c>
      <c r="O201" s="73" t="s">
        <v>167</v>
      </c>
      <c r="P201" s="74"/>
      <c r="Q201" s="74"/>
      <c r="R201" s="74"/>
      <c r="S201" s="74"/>
      <c r="T201" s="75"/>
      <c r="U201" s="5">
        <f>COUNTIFS(   D4:D1440,"Estudios de las Mujeres y de Género: Historia, Discursos, Ciencia y Poder")</f>
        <v>22</v>
      </c>
      <c r="V201" s="5">
        <f>COUNTIFS(   D4:D1440,"Estudios de las Mujeres y de Género: Historia, Discursos, Ciencia y Poder",F4:F1440,"Hombre")</f>
        <v>2</v>
      </c>
      <c r="W201" s="5">
        <f>COUNTIFS(   D4:D1440,"Estudios de las Mujeres y de Género: Historia, Discursos, Ciencia y Poder",F4:F1440,"Mujer")</f>
        <v>20</v>
      </c>
      <c r="X201" s="19">
        <f>COUNTIFS(   A4:A1440,"2018", D4:D1440,"Estudios de las Mujeres y de Género: Historia, Discursos, Ciencia y Poder")</f>
        <v>4</v>
      </c>
      <c r="Y201" s="5">
        <f>COUNTIFS(   A4:A1440,"2019", D4:D1440,"Estudios de las Mujeres y de Género: Historia, Discursos, Ciencia y Poder")</f>
        <v>7</v>
      </c>
      <c r="Z201" s="5">
        <f>COUNTIFS(   A4:A1440,"2020", D4:D1440,"Estudios de las Mujeres y de Género: Historia, Discursos, Ciencia y Poder")</f>
        <v>8</v>
      </c>
      <c r="AA201" s="5">
        <f>COUNTIFS(   A4:A1440,"2021", D4:D1440,"Estudios de las Mujeres y de Género: Historia, Discursos, Ciencia y Poder")</f>
        <v>3</v>
      </c>
      <c r="AB201" s="5">
        <f>COUNTIFS(  A4:A1440,"2022", D4:D1440,"Estudios de las Mujeres y de Género: Historia, Discursos, Ciencia y Poder")</f>
        <v>0</v>
      </c>
      <c r="AC201" s="19">
        <f>COUNTIFS(   N4:N1440,"2018", D4:D1440,"Estudios de las Mujeres y de Género: Historia, Discursos, Ciencia y Poder")</f>
        <v>1</v>
      </c>
      <c r="AD201" s="5">
        <f>COUNTIFS(   N4:N1440,"2019", D4:D1440,"Estudios de las Mujeres y de Género: Historia, Discursos, Ciencia y Poder")</f>
        <v>8</v>
      </c>
      <c r="AE201" s="5">
        <f>COUNTIFS(   N4:N1440,"2020", D4:D1440,"Estudios de las Mujeres y de Género: Historia, Discursos, Ciencia y Poder")</f>
        <v>3</v>
      </c>
      <c r="AF201" s="5">
        <f>COUNTIFS(   N4:N1440,"2021", D4:D1440,"Estudios de las Mujeres y de Género: Historia, Discursos, Ciencia y Poder")</f>
        <v>9</v>
      </c>
      <c r="AG201" s="5">
        <f>COUNTIFS(   N4:N1440,"2022", D4:D1440,"Estudios de las Mujeres y de Género: Historia, Discursos, Ciencia y Poder")</f>
        <v>1</v>
      </c>
      <c r="AH201" s="5">
        <f>COUNTIFS(   D4:D1440,"Estudios de las Mujeres y de Género: Historia, Discursos, Ciencia y Poder",G4:G1440,"Sí")</f>
        <v>9</v>
      </c>
      <c r="AI201" s="5">
        <f>COUNTIFS(   D4:D1440,"Estudios de las Mujeres y de Género: Historia, Discursos, Ciencia y Poder",G4:G1440,"No")</f>
        <v>13</v>
      </c>
      <c r="AJ201" s="5">
        <f>SUMIFS( E4:E1440, D4:D1440,"Estudios de las Mujeres y de Género: Historia, Discursos, Ciencia y Poder",G4:G1440,"Sí")</f>
        <v>17</v>
      </c>
      <c r="AK201" s="5">
        <f>SUMIFS( E4:E1440, D4:D1440,"Estudios de las Mujeres y de Género: Historia, Discursos, Ciencia y Poder",G4:G1440,"No")</f>
        <v>25</v>
      </c>
      <c r="AL201" s="5">
        <f>COUNTIFS(   D4:D1440,"Estudios de las Mujeres y de Género: Historia, Discursos, Ciencia y Poder",H4:H1440,"Sí")</f>
        <v>12</v>
      </c>
      <c r="AM201" s="5">
        <f>COUNTIFS(   D4:D1440,"Estudios de las Mujeres y de Género: Historia, Discursos, Ciencia y Poder",I4:I1440,"Sí")</f>
        <v>7</v>
      </c>
      <c r="AN201" s="5">
        <f>COUNTIFS(   D4:D1440,"Estudios de las Mujeres y de Género: Historia, Discursos, Ciencia y Poder",I4:I1440,"No")</f>
        <v>15</v>
      </c>
      <c r="AO201" s="5">
        <f>SUMIFS( E4:E1440, D4:D1440,"Estudios de las Mujeres y de Género: Historia, Discursos, Ciencia y Poder",I4:I1440,"Sí")</f>
        <v>22</v>
      </c>
      <c r="AP201" s="5">
        <f>SUMIFS( E4:E1440, D4:D1440,"Estudios de las Mujeres y de Género: Historia, Discursos, Ciencia y Poder",I4:I1440,"No")</f>
        <v>20</v>
      </c>
      <c r="AQ201" s="5">
        <f>COUNTIFS(   D4:D1440,"Estudios de las Mujeres y de Género: Historia, Discursos, Ciencia y Poder",J4:J1440,"Sí")</f>
        <v>22</v>
      </c>
      <c r="AR201" s="5">
        <f>COUNTIFS(   D4:D1440,"Estudios de las Mujeres y de Género: Historia, Discursos, Ciencia y Poder",K4:K1440,"Sí")</f>
        <v>6</v>
      </c>
      <c r="AS201" s="5">
        <f>COUNTIFS(   D4:D1440,"Estudios de las Mujeres y de Género: Historia, Discursos, Ciencia y Poder",L4:L1440,"Sí")</f>
        <v>0</v>
      </c>
      <c r="AT201" s="5">
        <f>SUMIFS( E4:E1440, D4:D1440,"Estudios de las Mujeres y de Género: Historia, Discursos, Ciencia y Poder")</f>
        <v>42</v>
      </c>
      <c r="AU201" s="5">
        <f>SUMIFS( E4:E1440, F4:F1440,"Hombre", D4:D1440,"Estudios de las Mujeres y de Género: Historia, Discursos, Ciencia y Poder")</f>
        <v>2</v>
      </c>
      <c r="AV201" s="5">
        <f>SUMIFS( E4:E1440, F4:F1440,"Mujer", D4:D1440,"Estudios de las Mujeres y de Género: Historia, Discursos, Ciencia y Poder")</f>
        <v>40</v>
      </c>
      <c r="AW201" s="19">
        <f>SUMIFS( E4:E1440, A4:A1440,"2018", D4:D1440,"Estudios de las Mujeres y de Género: Historia, Discursos, Ciencia y Poder")</f>
        <v>3</v>
      </c>
      <c r="AX201" s="5">
        <f>SUMIFS( E4:E1440, A4:A1440,"2019", D4:D1440,"Estudios de las Mujeres y de Género: Historia, Discursos, Ciencia y Poder")</f>
        <v>13</v>
      </c>
      <c r="AY201" s="5">
        <f>SUMIFS( E4:E1440, A4:A1440,"2020", D4:D1440,"Estudios de las Mujeres y de Género: Historia, Discursos, Ciencia y Poder")</f>
        <v>17</v>
      </c>
      <c r="AZ201" s="5">
        <f>SUMIFS( E4:E1440, A4:A1440,"2021", D4:D1440,"Estudios de las Mujeres y de Género: Historia, Discursos, Ciencia y Poder")</f>
        <v>9</v>
      </c>
      <c r="BA201" s="5">
        <f>SUMIFS( E4:E1440, A4:A1440,"2022", D4:D1440,"Estudios de las Mujeres y de Género: Historia, Discursos, Ciencia y Poder")</f>
        <v>0</v>
      </c>
      <c r="BB201" s="19">
        <f>SUMIFS( E4:E1440, N4:N1440,"2018", D4:D1440,"Estudios de las Mujeres y de Género: Historia, Discursos, Ciencia y Poder")</f>
        <v>0</v>
      </c>
      <c r="BC201" s="5">
        <f>SUMIFS( E4:E1440, N4:N1440,"2019", D4:D1440,"Estudios de las Mujeres y de Género: Historia, Discursos, Ciencia y Poder")</f>
        <v>13</v>
      </c>
      <c r="BD201" s="5">
        <f>SUMIFS( E4:E1440, N4:N1440,"2020", D4:D1440,"Estudios de las Mujeres y de Género: Historia, Discursos, Ciencia y Poder")</f>
        <v>12</v>
      </c>
      <c r="BE201" s="5">
        <f>SUMIFS( E4:E1440, N4:N1440,"2021", D4:D1440,"Estudios de las Mujeres y de Género: Historia, Discursos, Ciencia y Poder")</f>
        <v>13</v>
      </c>
      <c r="BF201" s="5">
        <f>SUMIFS( E4:E1440, N4:N1440,"2022", D4:D1440,"Estudios de las Mujeres y de Género: Historia, Discursos, Ciencia y Poder")</f>
        <v>4</v>
      </c>
      <c r="BG201" s="14">
        <f>AVERAGEIFS( E4:E1440, D4:D1440,"Estudios de las Mujeres y de Género: Historia, Discursos, Ciencia y Poder")</f>
        <v>3.2307692307692308</v>
      </c>
      <c r="BH201" s="14">
        <v>0</v>
      </c>
      <c r="BI201" s="14">
        <v>0</v>
      </c>
      <c r="BJ201" s="14">
        <v>0</v>
      </c>
      <c r="BK201" s="14">
        <f>AVERAGEIFS( E4:E1440, A4:A1440,"2021", D4:D1440,"Estudios de las Mujeres y de Género: Historia, Discursos, Ciencia y Poder")</f>
        <v>4.5</v>
      </c>
      <c r="BL201" s="37" t="e">
        <f>AVERAGEIFS( E4:E1440, A4:A1440,"2022", D4:D1440,"Estudios de las Mujeres y de Género: Historia, Discursos, Ciencia y Poder")</f>
        <v>#DIV/0!</v>
      </c>
      <c r="BM201" s="14">
        <v>1</v>
      </c>
      <c r="BN201" s="14">
        <v>0</v>
      </c>
      <c r="BO201" s="14">
        <v>0</v>
      </c>
      <c r="BP201" s="14">
        <v>0</v>
      </c>
      <c r="BQ201" s="14">
        <v>1.5</v>
      </c>
      <c r="BR201" s="14">
        <v>0</v>
      </c>
    </row>
    <row r="202" spans="1:70" ht="15" customHeight="1">
      <c r="A202" s="24">
        <v>2018</v>
      </c>
      <c r="B202" s="24" t="s">
        <v>136</v>
      </c>
      <c r="C202" s="24" t="s">
        <v>137</v>
      </c>
      <c r="D202" s="24" t="s">
        <v>138</v>
      </c>
      <c r="E202" s="23">
        <v>14</v>
      </c>
      <c r="F202" s="24" t="s">
        <v>211</v>
      </c>
      <c r="G202" s="24" t="s">
        <v>225</v>
      </c>
      <c r="H202" s="23" t="s">
        <v>226</v>
      </c>
      <c r="I202" s="24" t="s">
        <v>226</v>
      </c>
      <c r="J202" s="23" t="s">
        <v>226</v>
      </c>
      <c r="K202" s="24" t="s">
        <v>226</v>
      </c>
      <c r="L202" s="23"/>
      <c r="M202" s="26" t="s">
        <v>323</v>
      </c>
      <c r="N202" s="24">
        <v>2019</v>
      </c>
      <c r="O202" s="40" t="s">
        <v>74</v>
      </c>
      <c r="P202" s="43"/>
      <c r="Q202" s="43"/>
      <c r="R202" s="43"/>
      <c r="S202" s="43"/>
      <c r="T202" s="44"/>
      <c r="U202" s="4">
        <f>COUNTIFS(   C4:C1440,"Estudios Migratorios")</f>
        <v>35</v>
      </c>
      <c r="V202" s="4">
        <f>COUNTIFS(   C4:C1440,"Estudios Migratorios",F4:F1440,"Hombre")</f>
        <v>12</v>
      </c>
      <c r="W202" s="4">
        <f>COUNTIFS(   C4:C1440,"Estudios Migratorios",F4:F1440,"Mujer")</f>
        <v>23</v>
      </c>
      <c r="X202" s="18">
        <f>COUNTIFS(   A4:A1440,"2018", C4:C1440,"Estudios Migratorios")</f>
        <v>8</v>
      </c>
      <c r="Y202" s="4">
        <f>COUNTIFS(   A4:A1440,"2019", C4:C1440,"Estudios Migratorios")</f>
        <v>6</v>
      </c>
      <c r="Z202" s="4">
        <f>COUNTIFS(   A4:A1440,"2020", C4:C1440,"Estudios Migratorios")</f>
        <v>8</v>
      </c>
      <c r="AA202" s="4">
        <f>COUNTIFS(   A4:A1440,"2021", C4:C1440,"Estudios Migratorios")</f>
        <v>13</v>
      </c>
      <c r="AB202" s="4">
        <f>COUNTIFS(   A4:A1440,"2022", C4:C1440,"Estudios Migratorios")</f>
        <v>0</v>
      </c>
      <c r="AC202" s="18">
        <f>COUNTIFS(   N4:N1440,"2018", C4:C1440,"Estudios Migratorios")</f>
        <v>1</v>
      </c>
      <c r="AD202" s="4">
        <f>COUNTIFS(   N4:N1440,"2019", C4:C1440,"Estudios Migratorios")</f>
        <v>9</v>
      </c>
      <c r="AE202" s="4">
        <f>COUNTIFS(   N4:N1440,"2020", C4:C1440,"Estudios Migratorios")</f>
        <v>6</v>
      </c>
      <c r="AF202" s="4">
        <f>COUNTIFS(   N4:N1440,"2021", C4:C1440,"Estudios Migratorios")</f>
        <v>13</v>
      </c>
      <c r="AG202" s="4">
        <f>COUNTIFS(   N4:N1440,"2022", C4:C1440,"Estudios Migratorios")</f>
        <v>6</v>
      </c>
      <c r="AH202" s="4">
        <f>COUNTIFS(   C4:C1440,"Estudios Migratorios",G4:G1440,"Sí")</f>
        <v>1</v>
      </c>
      <c r="AI202" s="4">
        <f>COUNTIFS(   C4:C1440,"Estudios Migratorios",G4:G1440,"No")</f>
        <v>34</v>
      </c>
      <c r="AJ202" s="4">
        <f>SUMIFS( E4:E1440, C4:C1440,"Estudios Migratorios",G4:G1440,"Sí")</f>
        <v>0</v>
      </c>
      <c r="AK202" s="4">
        <f>SUMIFS( E4:E1440, C4:C1440,"Estudios Migratorios",G4:G1440,"No")</f>
        <v>95</v>
      </c>
      <c r="AL202" s="4">
        <f>COUNTIFS(   C4:C1440,"Estudios Migratorios",H4:H1440,"Sí")</f>
        <v>23</v>
      </c>
      <c r="AM202" s="4">
        <f>COUNTIFS(   C4:C1440,"Estudios Migratorios",I4:I1440,"Sí")</f>
        <v>12</v>
      </c>
      <c r="AN202" s="4">
        <f>COUNTIFS(   C4:C1440,"Estudios Migratorios",I4:I1440,"No")</f>
        <v>23</v>
      </c>
      <c r="AO202" s="4">
        <f>SUMIFS( E4:E1440, C4:C1440,"Estudios Migratorios",I4:I1440,"Sí")</f>
        <v>32</v>
      </c>
      <c r="AP202" s="4">
        <f>SUMIFS( E4:E1440, C4:C1440,"Estudios Migratorios",I4:I1440,"No")</f>
        <v>63</v>
      </c>
      <c r="AQ202" s="4">
        <f>COUNTIFS(   C4:C1440,"Estudios Migratorios",J4:J1440,"Sí")</f>
        <v>35</v>
      </c>
      <c r="AR202" s="4">
        <f>COUNTIFS(   C4:C1440,"Estudios Migratorios",K4:K1440,"Sí")</f>
        <v>13</v>
      </c>
      <c r="AS202" s="4">
        <f>COUNTIFS(   C4:C1440,"Estudios Migratorios",L4:L1440,"Sí")</f>
        <v>0</v>
      </c>
      <c r="AT202" s="4">
        <f>SUMIFS( E4:E1440, C4:C1440,"Estudios Migratorios")</f>
        <v>95</v>
      </c>
      <c r="AU202" s="4">
        <f>SUMIFS( E4:E1440, F4:F1440,"Hombre", C4:C1440,"Estudios Migratorios")</f>
        <v>43</v>
      </c>
      <c r="AV202" s="4">
        <f>SUMIFS( E4:E1440, F4:F1440,"Mujer", C4:C1440,"Estudios Migratorios")</f>
        <v>52</v>
      </c>
      <c r="AW202" s="18">
        <f>SUMIFS( E4:E1440, A4:A1440,"2018", C4:C1440,"Estudios Migratorios")</f>
        <v>5</v>
      </c>
      <c r="AX202" s="4">
        <f>SUMIFS( E4:E1440, A4:A1440,"2019", C4:C1440,"Estudios Migratorios")</f>
        <v>18</v>
      </c>
      <c r="AY202" s="4">
        <f>SUMIFS( E4:E1440, A4:A1440,"2020", C4:C1440,"Estudios Migratorios")</f>
        <v>25</v>
      </c>
      <c r="AZ202" s="4">
        <f>SUMIFS( E4:E1440, A4:A1440,"2021", C4:C1440,"Estudios Migratorios")</f>
        <v>47</v>
      </c>
      <c r="BA202" s="4">
        <f>SUMIFS( E4:E1440, A4:A1440,"2022", C4:C1440,"Estudios Migratorios")</f>
        <v>0</v>
      </c>
      <c r="BB202" s="18">
        <f>SUMIFS( E4:E1440, N4:N1440,"2018", C4:C1440,"Estudios Migratorios")</f>
        <v>1</v>
      </c>
      <c r="BC202" s="4">
        <f>SUMIFS( E4:E1440, N4:N1440,"2019", C4:C1440,"Estudios Migratorios")</f>
        <v>15</v>
      </c>
      <c r="BD202" s="4">
        <f>SUMIFS( E4:E1440, N4:N1440,"2020", C4:C1440,"Estudios Migratorios")</f>
        <v>18</v>
      </c>
      <c r="BE202" s="4">
        <f>SUMIFS( E4:E1440, N4:N1440,"2021", C4:C1440,"Estudios Migratorios")</f>
        <v>23</v>
      </c>
      <c r="BF202" s="4">
        <f>SUMIFS( E4:E1440, N4:N1440,"2022", C4:C1440,"Estudios Migratorios")</f>
        <v>38</v>
      </c>
      <c r="BG202" s="13">
        <f>AVERAGEIFS( E4:E1440, C4:C1440,"Estudios Migratorios")</f>
        <v>3.9583333333333335</v>
      </c>
      <c r="BH202" s="13">
        <v>0</v>
      </c>
      <c r="BI202" s="13">
        <v>0</v>
      </c>
      <c r="BJ202" s="13">
        <f>AVERAGEIFS( E4:E1440, A4:A1440,"2020", C4:C1440,"Estudios Migratorios")</f>
        <v>4.166666666666667</v>
      </c>
      <c r="BK202" s="13">
        <f>AVERAGEIFS( E4:E1440, A4:A1440,"2021", C4:C1440,"Estudios Migratorios")</f>
        <v>5.2222222222222223</v>
      </c>
      <c r="BL202" s="37" t="e">
        <f>AVERAGEIFS( E4:E1440, A4:A1440,"2022", C4:C1440,"Estudios Migratorios")</f>
        <v>#DIV/0!</v>
      </c>
      <c r="BM202" s="13">
        <f>AVERAGE(AT203:AT205)</f>
        <v>31.666666666666668</v>
      </c>
      <c r="BN202" s="13">
        <v>0</v>
      </c>
      <c r="BO202" s="13">
        <v>0</v>
      </c>
      <c r="BP202" s="13">
        <v>0</v>
      </c>
      <c r="BQ202" s="13">
        <f>AVERAGE(AZ203:AZ205)</f>
        <v>15.666666666666666</v>
      </c>
      <c r="BR202" s="13">
        <f>AVERAGE(BA203:BA205)</f>
        <v>0</v>
      </c>
    </row>
    <row r="203" spans="1:70" ht="15" customHeight="1">
      <c r="A203" s="24">
        <v>2018</v>
      </c>
      <c r="B203" s="24" t="s">
        <v>136</v>
      </c>
      <c r="C203" s="24" t="s">
        <v>171</v>
      </c>
      <c r="D203" s="24" t="s">
        <v>172</v>
      </c>
      <c r="E203" s="23">
        <v>1</v>
      </c>
      <c r="F203" s="24" t="s">
        <v>207</v>
      </c>
      <c r="G203" s="24" t="s">
        <v>225</v>
      </c>
      <c r="H203" s="23" t="s">
        <v>226</v>
      </c>
      <c r="I203" s="24" t="s">
        <v>226</v>
      </c>
      <c r="J203" s="23" t="s">
        <v>226</v>
      </c>
      <c r="K203" s="24" t="s">
        <v>226</v>
      </c>
      <c r="L203" s="23"/>
      <c r="M203" s="26" t="s">
        <v>323</v>
      </c>
      <c r="N203" s="24">
        <v>2019</v>
      </c>
      <c r="O203" s="73" t="s">
        <v>170</v>
      </c>
      <c r="P203" s="74"/>
      <c r="Q203" s="74"/>
      <c r="R203" s="74"/>
      <c r="S203" s="74"/>
      <c r="T203" s="75"/>
      <c r="U203" s="5">
        <f>COUNTIFS(   D4:D1440,"Análisis social, cultural y de género de las migraciones")</f>
        <v>24</v>
      </c>
      <c r="V203" s="5">
        <f>COUNTIFS(   D4:D1440,"Análisis social, cultural y de género de las migraciones",F4:F1440,"Hombre")</f>
        <v>7</v>
      </c>
      <c r="W203" s="5">
        <f>COUNTIFS(   D4:D1440,"Análisis social, cultural y de género de las migraciones",F4:F1440,"Mujer")</f>
        <v>17</v>
      </c>
      <c r="X203" s="19">
        <f>COUNTIFS(   A4:A1440,"2018", D4:D1440,"Análisis social, cultural y de género de las migraciones")</f>
        <v>4</v>
      </c>
      <c r="Y203" s="5">
        <f>COUNTIFS(   A4:A1440,"2019", D4:D1440,"Análisis social, cultural y de género de las migraciones")</f>
        <v>5</v>
      </c>
      <c r="Z203" s="5">
        <f>COUNTIFS(   A4:A1440,"2020", D4:D1440,"Análisis social, cultural y de género de las migraciones")</f>
        <v>8</v>
      </c>
      <c r="AA203" s="5">
        <f>COUNTIFS(   A4:A1440,"2021", D4:D1440,"Análisis social, cultural y de género de las migraciones")</f>
        <v>7</v>
      </c>
      <c r="AB203" s="5">
        <f>COUNTIFS(  A4:A1440,"2022", D4:D1440,"Análisis social, cultural y de género de las migraciones")</f>
        <v>0</v>
      </c>
      <c r="AC203" s="19">
        <f>COUNTIFS(   N4:N1440,"2018", D4:D1440,"Análisis social, cultural y de género de las migraciones")</f>
        <v>1</v>
      </c>
      <c r="AD203" s="5">
        <f>COUNTIFS(   N4:N1440,"2019", D4:D1440,"Análisis social, cultural y de género de las migraciones")</f>
        <v>5</v>
      </c>
      <c r="AE203" s="5">
        <f>COUNTIFS(   N4:N1440,"2020", D4:D1440,"Análisis social, cultural y de género de las migraciones")</f>
        <v>5</v>
      </c>
      <c r="AF203" s="5">
        <f>COUNTIFS(   N4:N1440,"2021", D4:D1440,"Análisis social, cultural y de género de las migraciones")</f>
        <v>10</v>
      </c>
      <c r="AG203" s="5">
        <f>COUNTIFS(   N4:N1440,"2022", D4:D1440,"Análisis social, cultural y de género de las migraciones")</f>
        <v>3</v>
      </c>
      <c r="AH203" s="5">
        <f>COUNTIFS(   D4:D1440,"Análisis social, cultural y de género de las migraciones",G4:G1440,"Sí")</f>
        <v>1</v>
      </c>
      <c r="AI203" s="5">
        <f>COUNTIFS(   D4:D1440,"Análisis social, cultural y de género de las migraciones",G4:G1440,"No")</f>
        <v>23</v>
      </c>
      <c r="AJ203" s="5">
        <f>SUMIFS( E4:E1440, D4:D1440,"Análisis social, cultural y de género de las migraciones",G4:G1440,"Sí")</f>
        <v>0</v>
      </c>
      <c r="AK203" s="5">
        <f>SUMIFS( E4:E1440, D4:D1440,"Análisis social, cultural y de género de las migraciones",G4:G1440,"No")</f>
        <v>85</v>
      </c>
      <c r="AL203" s="5">
        <f>COUNTIFS(   D4:D1440,"Análisis social, cultural y de género de las migraciones",H4:H1440,"Sí")</f>
        <v>18</v>
      </c>
      <c r="AM203" s="5">
        <f>COUNTIFS(   D4:D1440,"Análisis social, cultural y de género de las migraciones",I4:I1440,"Sí")</f>
        <v>11</v>
      </c>
      <c r="AN203" s="5">
        <f>COUNTIFS(   D4:D1440,"Análisis social, cultural y de género de las migraciones",I4:I1440,"No")</f>
        <v>13</v>
      </c>
      <c r="AO203" s="5">
        <f>SUMIFS( E4:E1440, D4:D1440,"Análisis social, cultural y de género de las migraciones",I4:I1440,"Sí")</f>
        <v>31</v>
      </c>
      <c r="AP203" s="5">
        <f>SUMIFS( E4:E1440, D4:D1440,"Análisis social, cultural y de género de las migraciones",I4:I1440,"No")</f>
        <v>54</v>
      </c>
      <c r="AQ203" s="5">
        <f>COUNTIFS(   D4:D1440,"Análisis social, cultural y de género de las migraciones",J4:J1440,"Sí")</f>
        <v>24</v>
      </c>
      <c r="AR203" s="5">
        <f>COUNTIFS(   D4:D1440,"Análisis social, cultural y de género de las migraciones",K4:K1440,"Sí")</f>
        <v>9</v>
      </c>
      <c r="AS203" s="5">
        <f>COUNTIFS(   D4:D1440,"Análisis social, cultural y de género de las migraciones",L4:L1440,"Sí")</f>
        <v>0</v>
      </c>
      <c r="AT203" s="5">
        <f>SUMIFS( E4:E1440, D4:D1440,"Análisis social, cultural y de género de las migraciones")</f>
        <v>85</v>
      </c>
      <c r="AU203" s="5">
        <f>SUMIFS( E4:E1440, F4:F1440,"Hombre", D4:D1440,"Análisis social, cultural y de género de las migraciones")</f>
        <v>36</v>
      </c>
      <c r="AV203" s="5">
        <f>SUMIFS( E4:E1440, F4:F1440,"Mujer", D4:D1440,"Análisis social, cultural y de género de las migraciones")</f>
        <v>49</v>
      </c>
      <c r="AW203" s="19">
        <f>SUMIFS( E4:E1440, A4:A1440,"2018", D4:D1440,"Análisis social, cultural y de género de las migraciones")</f>
        <v>2</v>
      </c>
      <c r="AX203" s="5">
        <f>SUMIFS( E4:E1440, A4:A1440,"2019", D4:D1440,"Análisis social, cultural y de género de las migraciones")</f>
        <v>14</v>
      </c>
      <c r="AY203" s="5">
        <f>SUMIFS( E4:E1440, A4:A1440,"2020", D4:D1440,"Análisis social, cultural y de género de las migraciones")</f>
        <v>25</v>
      </c>
      <c r="AZ203" s="5">
        <f>SUMIFS( E4:E1440, A4:A1440,"2021", D4:D1440,"Análisis social, cultural y de género de las migraciones")</f>
        <v>44</v>
      </c>
      <c r="BA203" s="5">
        <f>SUMIFS( E4:E1440, A4:A1440,"2022", D4:D1440,"Análisis social, cultural y de género de las migraciones")</f>
        <v>0</v>
      </c>
      <c r="BB203" s="19">
        <f>SUMIFS( E4:E1440, N4:N1440,"2018", D4:D1440,"Análisis social, cultural y de género de las migraciones")</f>
        <v>1</v>
      </c>
      <c r="BC203" s="5">
        <f>SUMIFS( E4:E1440, N4:N1440,"2019", D4:D1440,"Análisis social, cultural y de género de las migraciones")</f>
        <v>12</v>
      </c>
      <c r="BD203" s="5">
        <f>SUMIFS( E4:E1440, N4:N1440,"2020", D4:D1440,"Análisis social, cultural y de género de las migraciones")</f>
        <v>14</v>
      </c>
      <c r="BE203" s="5">
        <f>SUMIFS( E4:E1440, N4:N1440,"2021", D4:D1440,"Análisis social, cultural y de género de las migraciones")</f>
        <v>21</v>
      </c>
      <c r="BF203" s="5">
        <f>SUMIFS( E4:E1440, N4:N1440,"2022", D4:D1440,"Análisis social, cultural y de género de las migraciones")</f>
        <v>37</v>
      </c>
      <c r="BG203" s="14">
        <f>AVERAGEIFS( E4:E1440, D4:D1440,"Análisis social, cultural y de género de las migraciones")</f>
        <v>4.7222222222222223</v>
      </c>
      <c r="BH203" s="14">
        <v>0</v>
      </c>
      <c r="BI203" s="14">
        <v>0</v>
      </c>
      <c r="BJ203" s="14">
        <f>AVERAGEIFS( E4:E1440, A4:A1440,"2020", D4:D1440,"Análisis social, cultural y de género de las migraciones")</f>
        <v>4.166666666666667</v>
      </c>
      <c r="BK203" s="14">
        <f>AVERAGEIFS( E4:E1440, A4:A1440,"2021", D4:D1440,"Análisis social, cultural y de género de las migraciones")</f>
        <v>7.333333333333333</v>
      </c>
      <c r="BL203" s="37" t="e">
        <f>AVERAGEIFS( E4:E1440, A4:A1440,"2022", D4:D1440,"Análisis social, cultural y de género de las migraciones")</f>
        <v>#DIV/0!</v>
      </c>
      <c r="BM203" s="14">
        <v>3</v>
      </c>
      <c r="BN203" s="14">
        <v>0</v>
      </c>
      <c r="BO203" s="14">
        <v>0</v>
      </c>
      <c r="BP203" s="14">
        <v>0</v>
      </c>
      <c r="BQ203" s="14">
        <v>3</v>
      </c>
      <c r="BR203" s="14">
        <v>6</v>
      </c>
    </row>
    <row r="204" spans="1:70" ht="15" customHeight="1">
      <c r="A204" s="24">
        <v>2018</v>
      </c>
      <c r="B204" s="24" t="s">
        <v>78</v>
      </c>
      <c r="C204" s="24" t="s">
        <v>79</v>
      </c>
      <c r="D204" s="24" t="s">
        <v>58</v>
      </c>
      <c r="E204" s="23">
        <v>37</v>
      </c>
      <c r="F204" s="24" t="s">
        <v>207</v>
      </c>
      <c r="G204" s="24" t="s">
        <v>225</v>
      </c>
      <c r="H204" s="23" t="s">
        <v>226</v>
      </c>
      <c r="I204" s="24" t="s">
        <v>226</v>
      </c>
      <c r="J204" s="23" t="s">
        <v>226</v>
      </c>
      <c r="K204" s="24" t="s">
        <v>226</v>
      </c>
      <c r="L204" s="23"/>
      <c r="M204" s="26" t="s">
        <v>323</v>
      </c>
      <c r="N204" s="24">
        <v>2019</v>
      </c>
      <c r="O204" s="48" t="s">
        <v>314</v>
      </c>
      <c r="P204" s="49"/>
      <c r="Q204" s="49"/>
      <c r="R204" s="49"/>
      <c r="S204" s="49"/>
      <c r="T204" s="50"/>
      <c r="U204" s="5">
        <f>COUNTIFS(   D3:D1439,"Análisis social, jurídico y político de las migraciones y desarrollo humano: estado de bienestar y gestión de la diversidad")</f>
        <v>9</v>
      </c>
      <c r="V204" s="5">
        <f>COUNTIFS(   D3:D1439,"Análisis social, jurídico y político de las migraciones y desarrollo humano: estado de bienestar y gestión de la diversidad",F3:F1439,"Hombre")</f>
        <v>3</v>
      </c>
      <c r="W204" s="5">
        <f>COUNTIFS(   D3:D1439,"Análisis social, jurídico y político de las migraciones y desarrollo humano: estado de bienestar y gestión de la diversidad",F3:F1439,"Mujer")</f>
        <v>6</v>
      </c>
      <c r="X204" s="19">
        <f>COUNTIFS(   A3:A1439,"2018", D3:D1439,"Análisis social, jurídico y político de las migraciones y desarrollo humano: estado de bienestar y gestión de la diversidad")</f>
        <v>3</v>
      </c>
      <c r="Y204" s="5">
        <f>COUNTIFS(   A3:A1439,"2019", D3:D1439,"Análisis social, jurídico y político de las migraciones y desarrollo humano: estado de bienestar y gestión de la diversidad")</f>
        <v>1</v>
      </c>
      <c r="Z204" s="5">
        <f>COUNTIFS(   A3:A1439,"2020", D3:D1439,"Análisis social, jurídico y político de las migraciones y desarrollo humano: estado de bienestar y gestión de la diversidad")</f>
        <v>0</v>
      </c>
      <c r="AA204" s="5">
        <f>COUNTIFS(   A3:A1439,"2021", D3:D1439,"Análisis social, jurídico y político de las migraciones y desarrollo humano: estado de bienestar y gestión de la diversidad")</f>
        <v>5</v>
      </c>
      <c r="AB204" s="5">
        <f>COUNTIFS(  A3:A1439,"2022", D3:D1439,"Análisis social, jurídico y político de las migraciones y desarrollo humano: estado de bienestar y gestión de la diversidad")</f>
        <v>0</v>
      </c>
      <c r="AC204" s="19">
        <f>COUNTIFS(   N3:N1439,"2018", D3:D1439,"Análisis social, jurídico y político de las migraciones y desarrollo humano: estado de bienestar y gestión de la diversidad")</f>
        <v>0</v>
      </c>
      <c r="AD204" s="5">
        <f>COUNTIFS(   N3:N1439,"2019", D3:D1439,"Análisis social, jurídico y político de las migraciones y desarrollo humano: estado de bienestar y gestión de la diversidad")</f>
        <v>3</v>
      </c>
      <c r="AE204" s="5">
        <f>COUNTIFS(   N3:N1439,"2020", D3:D1439,"Análisis social, jurídico y político de las migraciones y desarrollo humano: estado de bienestar y gestión de la diversidad")</f>
        <v>1</v>
      </c>
      <c r="AF204" s="5">
        <f>COUNTIFS(   N3:N1439,"2021", D3:D1439,"Análisis social, jurídico y político de las migraciones y desarrollo humano: estado de bienestar y gestión de la diversidad")</f>
        <v>2</v>
      </c>
      <c r="AG204" s="5">
        <f>COUNTIFS(   N3:N1439,"2022", D3:D1439,"Análisis social, jurídico y político de las migraciones y desarrollo humano: estado de bienestar y gestión de la diversidad")</f>
        <v>3</v>
      </c>
      <c r="AH204" s="5">
        <f>COUNTIFS(   D3:D1439,"Análisis social, jurídico y político de las migraciones y desarrollo humano: estado de bienestar y gestión de la diversidad",G3:G1439,"Sí")</f>
        <v>0</v>
      </c>
      <c r="AI204" s="5">
        <f>COUNTIFS(   D3:D1439,"Análisis social, jurídico y político de las migraciones y desarrollo humano: estado de bienestar y gestión de la diversidad",G3:G1439,"No")</f>
        <v>9</v>
      </c>
      <c r="AJ204" s="5">
        <f>SUMIFS( E3:E1439, D3:D1439,"Análisis social, jurídico y político de las migraciones y desarrollo humano: estado de bienestar y gestión de la diversidad",G3:G1439,"Sí")</f>
        <v>0</v>
      </c>
      <c r="AK204" s="5">
        <f>SUMIFS( E3:E1439, D3:D1439,"Análisis social, jurídico y político de las migraciones y desarrollo humano: estado de bienestar y gestión de la diversidad",G3:G1439,"No")</f>
        <v>9</v>
      </c>
      <c r="AL204" s="5">
        <f>COUNTIFS(   D3:D1439,"Análisis social, jurídico y político de las migraciones y desarrollo humano: estado de bienestar y gestión de la diversidad",H3:H1439,"Sí")</f>
        <v>4</v>
      </c>
      <c r="AM204" s="5">
        <f>COUNTIFS(   D3:D1439,"Análisis social, jurídico y político de las migraciones y desarrollo humano: estado de bienestar y gestión de la diversidad",I3:I1439,"Sí")</f>
        <v>1</v>
      </c>
      <c r="AN204" s="5">
        <f>COUNTIFS(   D3:D1439,"Análisis social, jurídico y político de las migraciones y desarrollo humano: estado de bienestar y gestión de la diversidad",I3:I1439,"No")</f>
        <v>8</v>
      </c>
      <c r="AO204" s="5">
        <f>SUMIFS( E3:E1439, D3:D1439,"Análisis social, jurídico y político de las migraciones y desarrollo humano: estado de bienestar y gestión de la diversidad",I3:I1439,"Sí")</f>
        <v>1</v>
      </c>
      <c r="AP204" s="5">
        <f>SUMIFS( E3:E1439, D3:D1439,"Análisis social, jurídico y político de las migraciones y desarrollo humano: estado de bienestar y gestión de la diversidad",I3:I1439,"No")</f>
        <v>8</v>
      </c>
      <c r="AQ204" s="5">
        <f>COUNTIFS(   D3:D1439,"Análisis social, jurídico y político de las migraciones y desarrollo humano: estado de bienestar y gestión de la diversidad",J3:J1439,"Sí")</f>
        <v>9</v>
      </c>
      <c r="AR204" s="5">
        <f>COUNTIFS(   D3:D1439,"Análisis social, jurídico y político de las migraciones y desarrollo humano: estado de bienestar y gestión de la diversidad",K3:K1439,"Sí")</f>
        <v>3</v>
      </c>
      <c r="AS204" s="5">
        <f>COUNTIFS(   D3:D1439,"Análisis social, jurídico y político de las migraciones y desarrollo humano: estado de bienestar y gestión de la diversidad",L3:L1439,"Sí")</f>
        <v>0</v>
      </c>
      <c r="AT204" s="5">
        <f>SUMIFS( E3:E1439, D3:D1439,"Análisis social, jurídico y político de las migraciones y desarrollo humano: estado de bienestar y gestión de la diversidad")</f>
        <v>9</v>
      </c>
      <c r="AU204" s="5">
        <f>SUMIFS( E3:E1439, F3:F1439,"Hombre", D3:D1439,"Análisis social, jurídico y político de las migraciones y desarrollo humano: estado de bienestar y gestión de la diversidad")</f>
        <v>6</v>
      </c>
      <c r="AV204" s="5">
        <f>SUMIFS( E3:E1439, F3:F1439,"Mujer", D3:D1439,"Análisis social, jurídico y político de las migraciones y desarrollo humano: estado de bienestar y gestión de la diversidad")</f>
        <v>3</v>
      </c>
      <c r="AW204" s="19">
        <f>SUMIFS( E3:E1439, A3:A1439,"2018", D3:D1439,"Análisis social, jurídico y político de las migraciones y desarrollo humano: estado de bienestar y gestión de la diversidad")</f>
        <v>3</v>
      </c>
      <c r="AX204" s="5">
        <f>SUMIFS( E3:E1439, A3:A1439,"2019", D3:D1439,"Análisis social, jurídico y político de las migraciones y desarrollo humano: estado de bienestar y gestión de la diversidad")</f>
        <v>4</v>
      </c>
      <c r="AY204" s="5">
        <f>SUMIFS( E3:E1439, A3:A1439,"2020", D3:D1439,"Análisis social, jurídico y político de las migraciones y desarrollo humano: estado de bienestar y gestión de la diversidad")</f>
        <v>0</v>
      </c>
      <c r="AZ204" s="5">
        <f>SUMIFS( E3:E1439, A3:A1439,"2021", D3:D1439,"Análisis social, jurídico y político de las migraciones y desarrollo humano: estado de bienestar y gestión de la diversidad")</f>
        <v>2</v>
      </c>
      <c r="BA204" s="5">
        <f>SUMIFS( E3:E1439, A3:A1439,"2022", D3:D1439,"Análisis social, jurídico y político de las migraciones y desarrollo humano: estado de bienestar y gestión de la diversidad")</f>
        <v>0</v>
      </c>
      <c r="BB204" s="19">
        <f>SUMIFS( E3:E1439, N3:N1439,"2018", D3:D1439,"Análisis social, jurídico y político de las migraciones y desarrollo humano: estado de bienestar y gestión de la diversidad")</f>
        <v>0</v>
      </c>
      <c r="BC204" s="5">
        <f>SUMIFS( E3:E1439, N3:N1439,"2019", D3:D1439,"Análisis social, jurídico y político de las migraciones y desarrollo humano: estado de bienestar y gestión de la diversidad")</f>
        <v>3</v>
      </c>
      <c r="BD204" s="5">
        <f>SUMIFS( E3:E1439, N3:N1439,"2020", D3:D1439,"Análisis social, jurídico y político de las migraciones y desarrollo humano: estado de bienestar y gestión de la diversidad")</f>
        <v>4</v>
      </c>
      <c r="BE204" s="5">
        <f>SUMIFS( E3:E1439, N3:N1439,"2021", D3:D1439,"Análisis social, jurídico y político de las migraciones y desarrollo humano: estado de bienestar y gestión de la diversidad")</f>
        <v>1</v>
      </c>
      <c r="BF204" s="5">
        <f>SUMIFS( E3:E1439, N3:N1439,"2022", D3:D1439,"Análisis social, jurídico y político de las migraciones y desarrollo humano: estado de bienestar y gestión de la diversidad")</f>
        <v>1</v>
      </c>
      <c r="BG204" s="14">
        <f>AVERAGEIFS( E3:E1439, D3:D1439,"Análisis social, jurídico y político de las migraciones y desarrollo humano: estado de bienestar y gestión de la diversidad")</f>
        <v>1.8</v>
      </c>
      <c r="BH204" s="14"/>
      <c r="BI204" s="14"/>
      <c r="BJ204" s="14"/>
      <c r="BK204" s="14"/>
      <c r="BL204" s="37"/>
      <c r="BM204" s="14"/>
      <c r="BN204" s="14"/>
      <c r="BO204" s="14"/>
      <c r="BP204" s="14"/>
      <c r="BQ204" s="14"/>
      <c r="BR204" s="14"/>
    </row>
    <row r="205" spans="1:70" ht="15" customHeight="1">
      <c r="A205" s="24">
        <v>2018</v>
      </c>
      <c r="B205" s="24" t="s">
        <v>136</v>
      </c>
      <c r="C205" s="24" t="s">
        <v>137</v>
      </c>
      <c r="D205" s="24" t="s">
        <v>141</v>
      </c>
      <c r="E205" s="23">
        <v>2</v>
      </c>
      <c r="F205" s="24" t="s">
        <v>211</v>
      </c>
      <c r="G205" s="24" t="s">
        <v>225</v>
      </c>
      <c r="H205" s="23" t="s">
        <v>226</v>
      </c>
      <c r="I205" s="24" t="s">
        <v>226</v>
      </c>
      <c r="J205" s="23" t="s">
        <v>226</v>
      </c>
      <c r="K205" s="24" t="s">
        <v>226</v>
      </c>
      <c r="L205" s="23"/>
      <c r="M205" s="26" t="s">
        <v>324</v>
      </c>
      <c r="N205" s="24">
        <v>2019</v>
      </c>
      <c r="O205" s="73" t="s">
        <v>169</v>
      </c>
      <c r="P205" s="74"/>
      <c r="Q205" s="74"/>
      <c r="R205" s="74"/>
      <c r="S205" s="74"/>
      <c r="T205" s="75"/>
      <c r="U205" s="5">
        <f>COUNTIFS(   D4:D1440,"Globalización y movilidad humana: trabajo y migraciones")</f>
        <v>2</v>
      </c>
      <c r="V205" s="5">
        <f>COUNTIFS(   D4:D1440,"Globalización y movilidad humana: trabajo y migraciones",F4:F1440,"Hombre")</f>
        <v>2</v>
      </c>
      <c r="W205" s="5">
        <f>COUNTIFS(   D4:D1440,"Globalización y movilidad humana: trabajo y migraciones",F4:F1440,"Mujer")</f>
        <v>0</v>
      </c>
      <c r="X205" s="19">
        <f>COUNTIFS(   A4:A1440,"2018", D4:D1440,"Globalización y movilidad humana: trabajo y migraciones")</f>
        <v>1</v>
      </c>
      <c r="Y205" s="5">
        <f>COUNTIFS(   A4:A1440,"2019", D4:D1440,"Globalización y movilidad humana: trabajo y migraciones")</f>
        <v>0</v>
      </c>
      <c r="Z205" s="5">
        <f>COUNTIFS(   A4:A1440,"2020", D4:D1440,"Globalización y movilidad humana: trabajo y migraciones")</f>
        <v>0</v>
      </c>
      <c r="AA205" s="5">
        <f>COUNTIFS(   A4:A1440,"2021", D4:D1440,"Globalización y movilidad humana: trabajo y migraciones")</f>
        <v>1</v>
      </c>
      <c r="AB205" s="5">
        <f>COUNTIFS(  A4:A1440,"2022", D4:D1440,"Globalización y movilidad humana: trabajo y migraciones")</f>
        <v>0</v>
      </c>
      <c r="AC205" s="19">
        <f>COUNTIFS(   N4:N1440,"2018", D4:D1440,"Globalización y movilidad humana: trabajo y migraciones")</f>
        <v>0</v>
      </c>
      <c r="AD205" s="5">
        <f>COUNTIFS(   N4:N1440,"2019", D4:D1440,"Globalización y movilidad humana: trabajo y migraciones")</f>
        <v>1</v>
      </c>
      <c r="AE205" s="5">
        <f>COUNTIFS(   N4:N1440,"2020", D4:D1440,"Globalización y movilidad humana: trabajo y migraciones")</f>
        <v>0</v>
      </c>
      <c r="AF205" s="5">
        <f>COUNTIFS(   N4:N1440,"2021", D4:D1440,"Globalización y movilidad humana: trabajo y migraciones")</f>
        <v>1</v>
      </c>
      <c r="AG205" s="5">
        <f>COUNTIFS(   N4:N1440,"2022", D4:D1440,"Globalización y movilidad humana: trabajo y migraciones")</f>
        <v>0</v>
      </c>
      <c r="AH205" s="5">
        <f>COUNTIFS(   D4:D1440,"Globalización y movilidad humana: trabajo y migraciones",G4:G1440,"Sí")</f>
        <v>0</v>
      </c>
      <c r="AI205" s="5">
        <f>COUNTIFS(   D4:D1440,"Globalización y movilidad humana: trabajo y migraciones",G4:G1440,"No")</f>
        <v>2</v>
      </c>
      <c r="AJ205" s="5">
        <f>SUMIFS( E4:E1440, D4:D1440,"Globalización y movilidad humana: trabajo y migraciones",G4:G1440,"Sí")</f>
        <v>0</v>
      </c>
      <c r="AK205" s="5">
        <f>SUMIFS( E4:E1440, D4:D1440,"Globalización y movilidad humana: trabajo y migraciones",G4:G1440,"No")</f>
        <v>1</v>
      </c>
      <c r="AL205" s="5">
        <f>COUNTIFS(   D4:D1440,"Globalización y movilidad humana: trabajo y migraciones",H4:H1440,"Sí")</f>
        <v>1</v>
      </c>
      <c r="AM205" s="5">
        <f>COUNTIFS(   D4:D1440,"Globalización y movilidad humana: trabajo y migraciones",I4:I1440,"Sí")</f>
        <v>0</v>
      </c>
      <c r="AN205" s="5">
        <f>COUNTIFS(   D4:D1440,"Globalización y movilidad humana: trabajo y migraciones",I4:I1440,"No")</f>
        <v>2</v>
      </c>
      <c r="AO205" s="5">
        <f>SUMIFS( E4:E1440, D4:D1440,"Globalización y movilidad humana: trabajo y migraciones",I4:I1440,"Sí")</f>
        <v>0</v>
      </c>
      <c r="AP205" s="5">
        <f>SUMIFS( E4:E1440, D4:D1440,"Globalización y movilidad humana: trabajo y migraciones",I4:I1440,"No")</f>
        <v>1</v>
      </c>
      <c r="AQ205" s="5">
        <f>COUNTIFS(   D4:D1440,"Globalización y movilidad humana: trabajo y migraciones",J4:J1440,"Sí")</f>
        <v>2</v>
      </c>
      <c r="AR205" s="5">
        <f>COUNTIFS(   D4:D1440,"Globalización y movilidad humana: trabajo y migraciones",K4:K1440,"Sí")</f>
        <v>1</v>
      </c>
      <c r="AS205" s="5">
        <f>COUNTIFS(   D4:D1440,"Globalización y movilidad humana: trabajo y migraciones",L4:L1440,"Sí")</f>
        <v>0</v>
      </c>
      <c r="AT205" s="5">
        <f>SUMIFS( E4:E1440, D4:D1440,"Globalización y movilidad humana: trabajo y migraciones")</f>
        <v>1</v>
      </c>
      <c r="AU205" s="5">
        <f>SUMIFS( E4:E1440, F4:F1440,"Hombre", D4:D1440,"Globalización y movilidad humana: trabajo y migraciones")</f>
        <v>1</v>
      </c>
      <c r="AV205" s="5">
        <f>SUMIFS( E4:E1440, F4:F1440,"Mujer", D4:D1440,"Globalización y movilidad humana: trabajo y migraciones")</f>
        <v>0</v>
      </c>
      <c r="AW205" s="19">
        <f>SUMIFS( E4:E1440, A4:A1440,"2018", D4:D1440,"Globalización y movilidad humana: trabajo y migraciones")</f>
        <v>0</v>
      </c>
      <c r="AX205" s="5">
        <f>SUMIFS( E4:E1440, A4:A1440,"2019", D4:D1440,"Globalización y movilidad humana: trabajo y migraciones")</f>
        <v>0</v>
      </c>
      <c r="AY205" s="5">
        <f>SUMIFS( E4:E1440, A4:A1440,"2020", D4:D1440,"Globalización y movilidad humana: trabajo y migraciones")</f>
        <v>0</v>
      </c>
      <c r="AZ205" s="5">
        <f>SUMIFS( E4:E1440, A4:A1440,"2021", D4:D1440,"Globalización y movilidad humana: trabajo y migraciones")</f>
        <v>1</v>
      </c>
      <c r="BA205" s="5">
        <f>SUMIFS( E4:E1440, A4:A1440,"2022", D4:D1440,"Globalización y movilidad humana: trabajo y migraciones")</f>
        <v>0</v>
      </c>
      <c r="BB205" s="19">
        <f>SUMIFS( E4:E1440, N4:N1440,"2018", D4:D1440,"Globalización y movilidad humana: trabajo y migraciones")</f>
        <v>0</v>
      </c>
      <c r="BC205" s="5">
        <f>SUMIFS( E4:E1440, N4:N1440,"2019", D4:D1440,"Globalización y movilidad humana: trabajo y migraciones")</f>
        <v>0</v>
      </c>
      <c r="BD205" s="5">
        <f>SUMIFS( E4:E1440, N4:N1440,"2020", D4:D1440,"Globalización y movilidad humana: trabajo y migraciones")</f>
        <v>0</v>
      </c>
      <c r="BE205" s="5">
        <f>SUMIFS( E4:E1440, N4:N1440,"2021", D4:D1440,"Globalización y movilidad humana: trabajo y migraciones")</f>
        <v>1</v>
      </c>
      <c r="BF205" s="5">
        <f>SUMIFS( E4:E1440, N4:N1440,"2022", D4:D1440,"Globalización y movilidad humana: trabajo y migraciones")</f>
        <v>0</v>
      </c>
      <c r="BG205" s="14">
        <f>AVERAGEIFS( E4:E1440, D4:D1440,"Globalización y movilidad humana: trabajo y migraciones")</f>
        <v>1</v>
      </c>
      <c r="BH205" s="14">
        <v>0</v>
      </c>
      <c r="BI205" s="14">
        <v>0</v>
      </c>
      <c r="BJ205" s="14">
        <v>0</v>
      </c>
      <c r="BK205" s="14">
        <v>0</v>
      </c>
      <c r="BL205" s="37" t="e">
        <f>AVERAGEIFS( E4:E1440, A4:A1440,"2022", D4:D1440,"Globalización y movilidad humana: trabajo y migraciones")</f>
        <v>#DIV/0!</v>
      </c>
      <c r="BM205" s="14">
        <v>3.3333333333333335</v>
      </c>
      <c r="BN205" s="14">
        <v>0</v>
      </c>
      <c r="BO205" s="14">
        <v>0</v>
      </c>
      <c r="BP205" s="14">
        <v>0</v>
      </c>
      <c r="BQ205" s="14">
        <v>0</v>
      </c>
      <c r="BR205" s="14">
        <v>3.3333333333333335</v>
      </c>
    </row>
    <row r="206" spans="1:70" ht="15" customHeight="1">
      <c r="A206" s="24">
        <v>2018</v>
      </c>
      <c r="B206" s="24" t="s">
        <v>136</v>
      </c>
      <c r="C206" s="24" t="s">
        <v>168</v>
      </c>
      <c r="D206" s="24" t="s">
        <v>170</v>
      </c>
      <c r="E206" s="23">
        <v>1</v>
      </c>
      <c r="F206" s="24" t="s">
        <v>207</v>
      </c>
      <c r="G206" s="24" t="s">
        <v>225</v>
      </c>
      <c r="H206" s="23" t="s">
        <v>226</v>
      </c>
      <c r="I206" s="24" t="s">
        <v>225</v>
      </c>
      <c r="J206" s="23" t="s">
        <v>226</v>
      </c>
      <c r="K206" s="24" t="s">
        <v>226</v>
      </c>
      <c r="L206" s="23"/>
      <c r="M206" s="26" t="s">
        <v>325</v>
      </c>
      <c r="N206" s="24">
        <v>2019</v>
      </c>
      <c r="O206" s="40" t="s">
        <v>75</v>
      </c>
      <c r="P206" s="43"/>
      <c r="Q206" s="43"/>
      <c r="R206" s="43"/>
      <c r="S206" s="43"/>
      <c r="T206" s="44"/>
      <c r="U206" s="4">
        <f>COUNTIFS(   C4:C1440,"Filosofía")</f>
        <v>24</v>
      </c>
      <c r="V206" s="4">
        <f>COUNTIFS(   C4:C1440,"Filosofía",F4:F1440,"Hombre")</f>
        <v>21</v>
      </c>
      <c r="W206" s="4">
        <f>COUNTIFS(   C4:C1440,"Filosofía",F4:F1440,"Mujer")</f>
        <v>3</v>
      </c>
      <c r="X206" s="18">
        <f>COUNTIFS(   A4:A1440,"2018", C4:C1440,"Filosofía")</f>
        <v>7</v>
      </c>
      <c r="Y206" s="4">
        <f>COUNTIFS(   A4:A1440,"2019", C4:C1440,"Filosofía")</f>
        <v>9</v>
      </c>
      <c r="Z206" s="4">
        <f>COUNTIFS(   A4:A1440,"2020", C4:C1440,"Filosofía")</f>
        <v>4</v>
      </c>
      <c r="AA206" s="4">
        <f>COUNTIFS(   A4:A1440,"2021", C4:C1440,"Filosofía")</f>
        <v>4</v>
      </c>
      <c r="AB206" s="4">
        <f>COUNTIFS(   A4:A1440,"2022", C4:C1440,"Filosofía")</f>
        <v>0</v>
      </c>
      <c r="AC206" s="18">
        <f>COUNTIFS(   N4:N1440,"2018", C4:C1440,"Filosofía")</f>
        <v>2</v>
      </c>
      <c r="AD206" s="4">
        <f>COUNTIFS(   N4:N1440,"2019", C4:C1440,"Filosofía")</f>
        <v>7</v>
      </c>
      <c r="AE206" s="4">
        <f>COUNTIFS(   N4:N1440,"2020", C4:C1440,"Filosofía")</f>
        <v>8</v>
      </c>
      <c r="AF206" s="4">
        <f>COUNTIFS(   N4:N1440,"2021", C4:C1440,"Filosofía")</f>
        <v>5</v>
      </c>
      <c r="AG206" s="4">
        <f>COUNTIFS(   N4:N1440,"2022", C4:C1440,"Filosofía")</f>
        <v>2</v>
      </c>
      <c r="AH206" s="4">
        <f>COUNTIFS(   C4:C1440,"Filosofía",G4:G1440,"Sí")</f>
        <v>2</v>
      </c>
      <c r="AI206" s="4">
        <f>COUNTIFS(   C4:C1440,"Filosofía",G4:G1440,"No")</f>
        <v>22</v>
      </c>
      <c r="AJ206" s="4">
        <f>SUMIFS( E4:E1440, C4:C1440,"Filosofía",G4:G1440,"Sí")</f>
        <v>1</v>
      </c>
      <c r="AK206" s="4">
        <f>SUMIFS( E4:E1440, C4:C1440,"Filosofía",G4:G1440,"No")</f>
        <v>59</v>
      </c>
      <c r="AL206" s="4">
        <f>COUNTIFS(   C4:C1440,"Filosofía",H4:H1440,"Sí")</f>
        <v>16</v>
      </c>
      <c r="AM206" s="4">
        <f>COUNTIFS(   C4:C1440,"Filosofía",I4:I1440,"Sí")</f>
        <v>16</v>
      </c>
      <c r="AN206" s="4">
        <f>COUNTIFS(   C4:C1440,"Filosofía",I4:I1440,"No")</f>
        <v>8</v>
      </c>
      <c r="AO206" s="4">
        <f>SUMIFS( E4:E1440, C4:C1440,"Filosofía",I4:I1440,"Sí")</f>
        <v>45</v>
      </c>
      <c r="AP206" s="4">
        <f>SUMIFS( E4:E1440, C4:C1440,"Filosofía",I4:I1440,"No")</f>
        <v>15</v>
      </c>
      <c r="AQ206" s="4">
        <f>COUNTIFS(   C4:C1440,"Filosofía",J4:J1440,"Sí")</f>
        <v>24</v>
      </c>
      <c r="AR206" s="4">
        <f>COUNTIFS(   C4:C1440,"Filosofía",K4:K1440,"Sí")</f>
        <v>11</v>
      </c>
      <c r="AS206" s="4">
        <f>COUNTIFS(   C4:C1440,"Filosofía",L4:L1440,"Sí")</f>
        <v>0</v>
      </c>
      <c r="AT206" s="4">
        <f>SUMIFS( E4:E1440, C4:C1440,"Filosofía")</f>
        <v>60</v>
      </c>
      <c r="AU206" s="4">
        <f>SUMIFS( E4:E1440, F4:F1440,"Hombre", C4:C1440,"Filosofía")</f>
        <v>57</v>
      </c>
      <c r="AV206" s="4">
        <f>SUMIFS( E4:E1440, F4:F1440,"Mujer", C4:C1440,"Filosofía")</f>
        <v>3</v>
      </c>
      <c r="AW206" s="18">
        <f>SUMIFS( E4:E1440, A4:A1440,"2018", C4:C1440,"Filosofía")</f>
        <v>17</v>
      </c>
      <c r="AX206" s="4">
        <f>SUMIFS( E4:E1440, A4:A1440,"2019", C4:C1440,"Filosofía")</f>
        <v>24</v>
      </c>
      <c r="AY206" s="4">
        <f>SUMIFS( E4:E1440, A4:A1440,"2020", C4:C1440,"Filosofía")</f>
        <v>6</v>
      </c>
      <c r="AZ206" s="4">
        <f>SUMIFS( E4:E1440, A4:A1440,"2021", C4:C1440,"Filosofía")</f>
        <v>13</v>
      </c>
      <c r="BA206" s="4">
        <f>SUMIFS( E4:E1440, A4:A1440,"2022", C4:C1440,"Filosofía")</f>
        <v>0</v>
      </c>
      <c r="BB206" s="18">
        <f>SUMIFS( E4:E1440, N4:N1440,"2018", C4:C1440,"Filosofía")</f>
        <v>8</v>
      </c>
      <c r="BC206" s="4">
        <f>SUMIFS( E4:E1440, N4:N1440,"2019", C4:C1440,"Filosofía")</f>
        <v>22</v>
      </c>
      <c r="BD206" s="4">
        <f>SUMIFS( E4:E1440, N4:N1440,"2020", C4:C1440,"Filosofía")</f>
        <v>11</v>
      </c>
      <c r="BE206" s="4">
        <f>SUMIFS( E4:E1440, N4:N1440,"2021", C4:C1440,"Filosofía")</f>
        <v>10</v>
      </c>
      <c r="BF206" s="4">
        <f>SUMIFS( E4:E1440, N4:N1440,"2022", C4:C1440,"Filosofía")</f>
        <v>9</v>
      </c>
      <c r="BG206" s="13">
        <f>AVERAGEIFS( E4:E1440, C4:C1440,"Filosofía")</f>
        <v>3.1578947368421053</v>
      </c>
      <c r="BH206" s="13">
        <v>0</v>
      </c>
      <c r="BI206" s="13">
        <v>0</v>
      </c>
      <c r="BJ206" s="13">
        <v>0</v>
      </c>
      <c r="BK206" s="13">
        <f>AVERAGEIFS( E4:E1440, A4:A1440,"2021", C4:C1440,"Filosofía")</f>
        <v>4.333333333333333</v>
      </c>
      <c r="BL206" s="37" t="e">
        <f>AVERAGEIFS( E4:E1440, A4:A1440,"2022", C4:C1440,"Filosofía")</f>
        <v>#DIV/0!</v>
      </c>
      <c r="BM206" s="13">
        <f>AVERAGE(AT207:AT213)</f>
        <v>8.5714285714285712</v>
      </c>
      <c r="BN206" s="13">
        <v>0</v>
      </c>
      <c r="BO206" s="13">
        <v>0</v>
      </c>
      <c r="BP206" s="13">
        <v>0</v>
      </c>
      <c r="BQ206" s="13">
        <f>AVERAGE(AZ207:AZ213)</f>
        <v>1.8571428571428572</v>
      </c>
      <c r="BR206" s="13">
        <f>AVERAGE(BA207:BA213)</f>
        <v>0</v>
      </c>
    </row>
    <row r="207" spans="1:70" ht="15" customHeight="1">
      <c r="A207" s="24">
        <v>2018</v>
      </c>
      <c r="B207" s="24" t="s">
        <v>136</v>
      </c>
      <c r="C207" s="24" t="s">
        <v>137</v>
      </c>
      <c r="D207" s="24" t="s">
        <v>141</v>
      </c>
      <c r="E207" s="23">
        <v>28</v>
      </c>
      <c r="F207" s="24" t="s">
        <v>207</v>
      </c>
      <c r="G207" s="24" t="s">
        <v>225</v>
      </c>
      <c r="H207" s="23" t="s">
        <v>226</v>
      </c>
      <c r="I207" s="24" t="s">
        <v>226</v>
      </c>
      <c r="J207" s="23" t="s">
        <v>226</v>
      </c>
      <c r="K207" s="24" t="s">
        <v>226</v>
      </c>
      <c r="L207" s="23"/>
      <c r="M207" s="26" t="s">
        <v>325</v>
      </c>
      <c r="N207" s="24">
        <v>2019</v>
      </c>
      <c r="O207" s="73" t="s">
        <v>172</v>
      </c>
      <c r="P207" s="74"/>
      <c r="Q207" s="74"/>
      <c r="R207" s="74"/>
      <c r="S207" s="74"/>
      <c r="T207" s="75"/>
      <c r="U207" s="5">
        <f>COUNTIFS(   D4:D1440,"Génesis de la modernidad: de Leibniz a Kant")</f>
        <v>4</v>
      </c>
      <c r="V207" s="5">
        <f>COUNTIFS(   D4:D1440,"Génesis de la modernidad: de Leibniz a Kant",F4:F1440,"Hombre")</f>
        <v>4</v>
      </c>
      <c r="W207" s="5">
        <f>COUNTIFS(   D4:D1440,"Génesis de la modernidad: de Leibniz a Kant",F4:F1440,"Mujer")</f>
        <v>0</v>
      </c>
      <c r="X207" s="19">
        <f>COUNTIFS(   A4:A1440,"2018", D4:D1440,"Génesis de la modernidad: de Leibniz a Kant")</f>
        <v>1</v>
      </c>
      <c r="Y207" s="5">
        <f>COUNTIFS(   A4:A1440,"2019", D4:D1440,"Génesis de la modernidad: de Leibniz a Kant")</f>
        <v>2</v>
      </c>
      <c r="Z207" s="5">
        <f>COUNTIFS(   A4:A1440,"2020", D4:D1440,"Génesis de la modernidad: de Leibniz a Kant")</f>
        <v>0</v>
      </c>
      <c r="AA207" s="5">
        <f>COUNTIFS(   A4:A1440,"2021", D4:D1440,"Génesis de la modernidad: de Leibniz a Kant")</f>
        <v>1</v>
      </c>
      <c r="AB207" s="5">
        <f>COUNTIFS(  A4:A1440,"2022", D4:D1440,"Génesis de la modernidad: de Leibniz a Kant")</f>
        <v>0</v>
      </c>
      <c r="AC207" s="19">
        <f>COUNTIFS(   N4:N1440,"2018", D4:D1440,"Génesis de la modernidad: de Leibniz a Kant")</f>
        <v>0</v>
      </c>
      <c r="AD207" s="5">
        <f>COUNTIFS(   N4:N1440,"2019", D4:D1440,"Génesis de la modernidad: de Leibniz a Kant")</f>
        <v>1</v>
      </c>
      <c r="AE207" s="5">
        <f>COUNTIFS(   N4:N1440,"2020", D4:D1440,"Génesis de la modernidad: de Leibniz a Kant")</f>
        <v>2</v>
      </c>
      <c r="AF207" s="5">
        <f>COUNTIFS(   N4:N1440,"2021", D4:D1440,"Génesis de la modernidad: de Leibniz a Kant")</f>
        <v>1</v>
      </c>
      <c r="AG207" s="5">
        <f>COUNTIFS(   N4:N1440,"2022", D4:D1440,"Génesis de la modernidad: de Leibniz a Kant")</f>
        <v>0</v>
      </c>
      <c r="AH207" s="5">
        <f>COUNTIFS(   D4:D1440,"Génesis de la modernidad: de Leibniz a Kant",G4:G1440,"Sí")</f>
        <v>0</v>
      </c>
      <c r="AI207" s="5">
        <f>COUNTIFS(   D4:D1440,"Génesis de la modernidad: de Leibniz a Kant",G4:G1440,"No")</f>
        <v>4</v>
      </c>
      <c r="AJ207" s="5">
        <f>SUMIFS( E4:E1440, D4:D1440,"Génesis de la modernidad: de Leibniz a Kant",G4:G1440,"Sí")</f>
        <v>0</v>
      </c>
      <c r="AK207" s="5">
        <f>SUMIFS( E4:E1440, D4:D1440,"Génesis de la modernidad: de Leibniz a Kant",G4:G1440,"No")</f>
        <v>8</v>
      </c>
      <c r="AL207" s="5">
        <f>COUNTIFS(   D4:D1440,"Génesis de la modernidad: de Leibniz a Kant",H4:H1440,"Sí")</f>
        <v>4</v>
      </c>
      <c r="AM207" s="5">
        <f>COUNTIFS(   D4:D1440,"Génesis de la modernidad: de Leibniz a Kant",I4:I1440,"Sí")</f>
        <v>3</v>
      </c>
      <c r="AN207" s="5">
        <f>COUNTIFS(   D4:D1440,"Génesis de la modernidad: de Leibniz a Kant",I4:I1440,"No")</f>
        <v>1</v>
      </c>
      <c r="AO207" s="5">
        <f>SUMIFS( E4:E1440, D4:D1440,"Génesis de la modernidad: de Leibniz a Kant",I4:I1440,"Sí")</f>
        <v>6</v>
      </c>
      <c r="AP207" s="5">
        <f>SUMIFS( E4:E1440, D4:D1440,"Génesis de la modernidad: de Leibniz a Kant",I4:I1440,"No")</f>
        <v>2</v>
      </c>
      <c r="AQ207" s="5">
        <f>COUNTIFS(   D4:D1440,"Génesis de la modernidad: de Leibniz a Kant",J4:J1440,"Sí")</f>
        <v>4</v>
      </c>
      <c r="AR207" s="5">
        <f>COUNTIFS(   D4:D1440,"Génesis de la modernidad: de Leibniz a Kant",K4:K1440,"Sí")</f>
        <v>2</v>
      </c>
      <c r="AS207" s="5">
        <f>COUNTIFS(   D4:D1440,"Génesis de la modernidad: de Leibniz a Kant",L4:L1440,"Sí")</f>
        <v>0</v>
      </c>
      <c r="AT207" s="5">
        <f>SUMIFS( E4:E1440, D4:D1440,"Génesis de la modernidad: de Leibniz a Kant")</f>
        <v>8</v>
      </c>
      <c r="AU207" s="5">
        <f>SUMIFS( E4:E1440, F4:F1440,"Hombre", D4:D1440,"Génesis de la modernidad: de Leibniz a Kant")</f>
        <v>8</v>
      </c>
      <c r="AV207" s="5">
        <f>SUMIFS( E4:E1440, F4:F1440,"Mujer", D4:D1440,"Génesis de la modernidad: de Leibniz a Kant")</f>
        <v>0</v>
      </c>
      <c r="AW207" s="19">
        <f>SUMIFS( E4:E1440, A4:A1440,"2018", D4:D1440,"Génesis de la modernidad: de Leibniz a Kant")</f>
        <v>1</v>
      </c>
      <c r="AX207" s="5">
        <f>SUMIFS( E4:E1440, A4:A1440,"2019", D4:D1440,"Génesis de la modernidad: de Leibniz a Kant")</f>
        <v>4</v>
      </c>
      <c r="AY207" s="5">
        <f>SUMIFS( E4:E1440, A4:A1440,"2020", D4:D1440,"Génesis de la modernidad: de Leibniz a Kant")</f>
        <v>0</v>
      </c>
      <c r="AZ207" s="5">
        <f>SUMIFS( E4:E1440, A4:A1440,"2021", D4:D1440,"Génesis de la modernidad: de Leibniz a Kant")</f>
        <v>3</v>
      </c>
      <c r="BA207" s="5">
        <f>SUMIFS( E4:E1440, A4:A1440,"2022", D4:D1440,"Génesis de la modernidad: de Leibniz a Kant")</f>
        <v>0</v>
      </c>
      <c r="BB207" s="19">
        <f>SUMIFS( E4:E1440, N4:N1440,"2018", D4:D1440,"Génesis de la modernidad: de Leibniz a Kant")</f>
        <v>0</v>
      </c>
      <c r="BC207" s="5">
        <f>SUMIFS( E4:E1440, N4:N1440,"2019", D4:D1440,"Génesis de la modernidad: de Leibniz a Kant")</f>
        <v>1</v>
      </c>
      <c r="BD207" s="5">
        <f>SUMIFS( E4:E1440, N4:N1440,"2020", D4:D1440,"Génesis de la modernidad: de Leibniz a Kant")</f>
        <v>4</v>
      </c>
      <c r="BE207" s="5">
        <f>SUMIFS( E4:E1440, N4:N1440,"2021", D4:D1440,"Génesis de la modernidad: de Leibniz a Kant")</f>
        <v>3</v>
      </c>
      <c r="BF207" s="5">
        <f>SUMIFS( E4:E1440, N4:N1440,"2022", D4:D1440,"Génesis de la modernidad: de Leibniz a Kant")</f>
        <v>0</v>
      </c>
      <c r="BG207" s="14">
        <f>AVERAGEIFS( E4:E1440, D4:D1440,"Génesis de la modernidad: de Leibniz a Kant")</f>
        <v>2</v>
      </c>
      <c r="BH207" s="14">
        <v>0</v>
      </c>
      <c r="BI207" s="14">
        <v>0</v>
      </c>
      <c r="BJ207" s="14">
        <v>0</v>
      </c>
      <c r="BK207" s="14">
        <v>0</v>
      </c>
      <c r="BL207" s="37" t="e">
        <f>AVERAGEIFS( E4:E1440, A4:A1440,"2022", D4:D1440,"Génesis de la modernidad: de Leibniz a Kant")</f>
        <v>#DIV/0!</v>
      </c>
      <c r="BM207" s="14">
        <v>1</v>
      </c>
      <c r="BN207" s="14">
        <v>0</v>
      </c>
      <c r="BO207" s="14">
        <v>0</v>
      </c>
      <c r="BP207" s="14">
        <v>0</v>
      </c>
      <c r="BQ207" s="14">
        <v>0</v>
      </c>
      <c r="BR207" s="14">
        <v>1</v>
      </c>
    </row>
    <row r="208" spans="1:70" ht="15" customHeight="1">
      <c r="A208" s="24">
        <v>2018</v>
      </c>
      <c r="B208" s="24" t="s">
        <v>136</v>
      </c>
      <c r="C208" s="24" t="s">
        <v>146</v>
      </c>
      <c r="D208" s="24" t="s">
        <v>326</v>
      </c>
      <c r="E208" s="23">
        <v>1</v>
      </c>
      <c r="F208" s="24" t="s">
        <v>207</v>
      </c>
      <c r="G208" s="24" t="s">
        <v>225</v>
      </c>
      <c r="H208" s="23" t="s">
        <v>226</v>
      </c>
      <c r="I208" s="24" t="s">
        <v>225</v>
      </c>
      <c r="J208" s="23" t="s">
        <v>226</v>
      </c>
      <c r="K208" s="24" t="s">
        <v>226</v>
      </c>
      <c r="L208" s="23"/>
      <c r="M208" s="26" t="s">
        <v>325</v>
      </c>
      <c r="N208" s="24">
        <v>2019</v>
      </c>
      <c r="O208" s="48" t="s">
        <v>525</v>
      </c>
      <c r="P208" s="49"/>
      <c r="Q208" s="49"/>
      <c r="R208" s="49"/>
      <c r="S208" s="49"/>
      <c r="T208" s="50"/>
      <c r="U208" s="5">
        <f>COUNTIFS(   D4:D1440,"Filosofía española y latinoamericana: del barroco a la actualidad")</f>
        <v>2</v>
      </c>
      <c r="V208" s="5">
        <f>COUNTIFS(   D4:D1440,"Filosofía española y latinoamericana: del barroco a la actualidad",F4:F1440,"Hombre")</f>
        <v>2</v>
      </c>
      <c r="W208" s="5">
        <f>COUNTIFS(   D4:D1440,"Filosofía española y latinoamericana: del barroco a la actualidad",F4:F1440,"Mujer")</f>
        <v>0</v>
      </c>
      <c r="X208" s="19">
        <f>COUNTIFS(   A4:A1440,"2018", D4:D1440,"Filosofía española y latinoamericana: del barroco a la actualidad")</f>
        <v>0</v>
      </c>
      <c r="Y208" s="5">
        <f>COUNTIFS(   A4:A1440,"2019", D4:D1440,"Filosofía española y latinoamericana: del barroco a la actualidad")</f>
        <v>0</v>
      </c>
      <c r="Z208" s="5">
        <f>COUNTIFS(   A4:A1440,"2020", D4:D1440,"Filosofía española y latinoamericana: del barroco a la actualidad")</f>
        <v>1</v>
      </c>
      <c r="AA208" s="5">
        <f>COUNTIFS(   A4:A1440,"2021", D4:D1440,"Filosofía española y latinoamericana: del barroco a la actualidad")</f>
        <v>1</v>
      </c>
      <c r="AB208" s="5">
        <f>COUNTIFS(  A4:A1440,"2022", D4:D1440,"Filosofía española y latinoamericana: del barroco a la actualidad")</f>
        <v>0</v>
      </c>
      <c r="AC208" s="19">
        <f>COUNTIFS(   N4:N1440,"2018", D4:D1440,"Filosofía española y latinoamericana: del barroco a la actualidad")</f>
        <v>0</v>
      </c>
      <c r="AD208" s="5">
        <f>COUNTIFS(   N4:N1440,"2019", D4:D1440,"Filosofía española y latinoamericana: del barroco a la actualidad")</f>
        <v>0</v>
      </c>
      <c r="AE208" s="5">
        <f>COUNTIFS(   N4:N1440,"2020", D4:D1440,"Filosofía española y latinoamericana: del barroco a la actualidad")</f>
        <v>0</v>
      </c>
      <c r="AF208" s="5">
        <f>COUNTIFS(   N4:N1440,"2021", D4:D1440,"Filosofía española y latinoamericana: del barroco a la actualidad")</f>
        <v>1</v>
      </c>
      <c r="AG208" s="5">
        <f>COUNTIFS(   N4:N1440,"2022", D4:D1440,"Filosofía española y latinoamericana: del barroco a la actualidad")</f>
        <v>1</v>
      </c>
      <c r="AH208" s="5">
        <f>COUNTIFS(   D4:D1440,"Filosofía española y latinoamericana: del barroco a la actualidad",G4:G1440,"Sí")</f>
        <v>0</v>
      </c>
      <c r="AI208" s="5">
        <f>COUNTIFS(   D4:D1440,"Filosofía española y latinoamericana: del barroco a la actualidad",G4:G1440,"No")</f>
        <v>2</v>
      </c>
      <c r="AJ208" s="5">
        <f>SUMIFS( E4:E1440, D4:D1440,"Filosofía española y latinoamericana: del barroco a la actualidad",G4:G1440,"Sí")</f>
        <v>0</v>
      </c>
      <c r="AK208" s="5">
        <f>SUMIFS( E4:E1440, D4:D1440,"Filosofía española y latinoamericana: del barroco a la actualidad",G4:G1440,"No")</f>
        <v>0</v>
      </c>
      <c r="AL208" s="5">
        <f>COUNTIFS(   D4:D1440,"Filosofía española y latinoamericana: del barroco a la actualidad",H4:H1440,"Sí")</f>
        <v>0</v>
      </c>
      <c r="AM208" s="5">
        <f>COUNTIFS(   D4:D1440,"Filosofía española y latinoamericana: del barroco a la actualidad",I4:I1440,"Sí")</f>
        <v>0</v>
      </c>
      <c r="AN208" s="5">
        <f>COUNTIFS(   D4:D1440,"Filosofía española y latinoamericana: del barroco a la actualidad",I4:I1440,"No")</f>
        <v>2</v>
      </c>
      <c r="AO208" s="5">
        <f>SUMIFS( E4:E1440, D4:D1440,"Filosofía española y latinoamericana: del barroco a la actualidad",I4:I1440,"Sí")</f>
        <v>0</v>
      </c>
      <c r="AP208" s="5">
        <f>SUMIFS( E4:E1440, D4:D1440,"Filosofía española y latinoamericana: del barroco a la actualidad",I4:I1440,"No")</f>
        <v>0</v>
      </c>
      <c r="AQ208" s="5">
        <f>COUNTIFS(   D4:D1440,"Filosofía española y latinoamericana: del barroco a la actualidad",J4:J1440,"Sí")</f>
        <v>2</v>
      </c>
      <c r="AR208" s="5">
        <f>COUNTIFS(   D4:D1440,"Filosofía española y latinoamericana: del barroco a la actualidad",K4:K1440,"Sí")</f>
        <v>0</v>
      </c>
      <c r="AS208" s="5">
        <f>COUNTIFS(   D4:D1440,"Filosofía española y latinoamericana: del barroco a la actualidad",L4:L1440,"Sí")</f>
        <v>0</v>
      </c>
      <c r="AT208" s="5">
        <f>SUMIFS( E4:E1440, D4:D1440,"Filosofía española y latinoamericana: del barroco a la actualidad")</f>
        <v>0</v>
      </c>
      <c r="AU208" s="5">
        <f>SUMIFS( E4:E1440, F4:F1440,"Hombre", D4:D1440,"Filosofía española y latinoamericana: del barroco a la actualidad")</f>
        <v>0</v>
      </c>
      <c r="AV208" s="5">
        <f>SUMIFS( E4:E1440, F4:F1440,"Mujer", D4:D1440,"Filosofía española y latinoamericana: del barroco a la actualidad")</f>
        <v>0</v>
      </c>
      <c r="AW208" s="19">
        <f>SUMIFS( E4:E1440, A4:A1440,"2018", D4:D1440,"Filosofía española y latinoamericana: del barroco a la actualidad")</f>
        <v>0</v>
      </c>
      <c r="AX208" s="5">
        <f>SUMIFS( E4:E1440, A4:A1440,"2019", D4:D1440,"Filosofía española y latinoamericana: del barroco a la actualidad")</f>
        <v>0</v>
      </c>
      <c r="AY208" s="5">
        <f>SUMIFS( E4:E1440, A4:A1440,"2020", D4:D1440,"Filosofía española y latinoamericana: del barroco a la actualidad")</f>
        <v>0</v>
      </c>
      <c r="AZ208" s="5">
        <f>SUMIFS( E4:E1440, A4:A1440,"2021", D4:D1440,"Filosofía española y latinoamericana: del barroco a la actualidad")</f>
        <v>0</v>
      </c>
      <c r="BA208" s="5">
        <f>SUMIFS( E4:E1440, A4:A1440,"2022", D4:D1440,"Filosofía española y latinoamericana: del barroco a la actualidad")</f>
        <v>0</v>
      </c>
      <c r="BB208" s="19">
        <f>SUMIFS( E4:E1440, N4:N1440,"2018", D4:D1440,"Filosofía española y latinoamericana: del barroco a la actualidad")</f>
        <v>0</v>
      </c>
      <c r="BC208" s="5">
        <f>SUMIFS( E4:E1440, N4:N1440,"2019", D4:D1440,"Filosofía española y latinoamericana: del barroco a la actualidad")</f>
        <v>0</v>
      </c>
      <c r="BD208" s="5">
        <f>SUMIFS( E4:E1440, N4:N1440,"2020", D4:D1440,"Filosofía española y latinoamericana: del barroco a la actualidad")</f>
        <v>0</v>
      </c>
      <c r="BE208" s="5">
        <f>SUMIFS( E4:E1440, N4:N1440,"2021", D4:D1440,"Filosofía española y latinoamericana: del barroco a la actualidad")</f>
        <v>0</v>
      </c>
      <c r="BF208" s="5">
        <f>SUMIFS( E4:E1440, N4:N1440,"2022", D4:D1440,"Filosofía española y latinoamericana: del barroco a la actualidad")</f>
        <v>0</v>
      </c>
      <c r="BG208" s="14" t="e">
        <f>AVERAGEIFS( E5:E1441, D5:D1441,"Filosofía española y latinoamericana: del barroco a la actualidad")</f>
        <v>#DIV/0!</v>
      </c>
      <c r="BH208" s="14"/>
      <c r="BI208" s="14"/>
      <c r="BJ208" s="14"/>
      <c r="BK208" s="14"/>
      <c r="BL208" s="37"/>
      <c r="BM208" s="14"/>
      <c r="BN208" s="14"/>
      <c r="BO208" s="14"/>
      <c r="BP208" s="14"/>
      <c r="BQ208" s="14"/>
      <c r="BR208" s="14"/>
    </row>
    <row r="209" spans="1:70" ht="15" customHeight="1">
      <c r="A209" s="24">
        <v>2018</v>
      </c>
      <c r="B209" s="24" t="s">
        <v>136</v>
      </c>
      <c r="C209" s="24" t="s">
        <v>176</v>
      </c>
      <c r="D209" s="24"/>
      <c r="E209" s="23">
        <v>1</v>
      </c>
      <c r="F209" s="24" t="s">
        <v>207</v>
      </c>
      <c r="G209" s="24" t="s">
        <v>225</v>
      </c>
      <c r="H209" s="23" t="s">
        <v>226</v>
      </c>
      <c r="I209" s="24" t="s">
        <v>226</v>
      </c>
      <c r="J209" s="23" t="s">
        <v>226</v>
      </c>
      <c r="K209" s="24" t="s">
        <v>226</v>
      </c>
      <c r="L209" s="23"/>
      <c r="M209" s="25">
        <v>43589</v>
      </c>
      <c r="N209" s="24">
        <v>2019</v>
      </c>
      <c r="O209" s="48" t="s">
        <v>633</v>
      </c>
      <c r="P209" s="49"/>
      <c r="Q209" s="49"/>
      <c r="R209" s="49"/>
      <c r="S209" s="49"/>
      <c r="T209" s="50"/>
      <c r="U209" s="5">
        <f>COUNTIFS(   D4:D1440,"Bioética")</f>
        <v>1</v>
      </c>
      <c r="V209" s="5">
        <f>COUNTIFS(   D4:D1440,"Bioética",F4:F1440,"Hombre")</f>
        <v>1</v>
      </c>
      <c r="W209" s="5">
        <f>COUNTIFS(   D4:D1440,"Bioética",F4:F1440,"Mujer")</f>
        <v>0</v>
      </c>
      <c r="X209" s="19">
        <f>COUNTIFS(   A4:A1440,"2018", D4:D1440,"Bioética")</f>
        <v>0</v>
      </c>
      <c r="Y209" s="5">
        <f>COUNTIFS(   A4:A1440,"2019", D4:D1440,"Bioética")</f>
        <v>0</v>
      </c>
      <c r="Z209" s="5">
        <f>COUNTIFS(   A4:A1440,"2020", D4:D1440,"Bioética")</f>
        <v>0</v>
      </c>
      <c r="AA209" s="5">
        <f>COUNTIFS(   A4:A1440,"2021", D4:D1440,"Bioética")</f>
        <v>1</v>
      </c>
      <c r="AB209" s="5">
        <f>COUNTIFS(  A4:A1440,"2022", D4:D1440,"Bioética")</f>
        <v>0</v>
      </c>
      <c r="AC209" s="19">
        <f>COUNTIFS(   N4:N1440,"2018", D4:D1440,"Bioética")</f>
        <v>0</v>
      </c>
      <c r="AD209" s="5">
        <f>COUNTIFS(   N4:N1440,"2019", D4:D1440,"Bioética")</f>
        <v>0</v>
      </c>
      <c r="AE209" s="5">
        <f>COUNTIFS(   N4:N1440,"2020", D4:D1440,"Bioética")</f>
        <v>0</v>
      </c>
      <c r="AF209" s="5">
        <f>COUNTIFS(   N4:N1440,"2021", D4:D1440,"Bioética")</f>
        <v>0</v>
      </c>
      <c r="AG209" s="5">
        <f>COUNTIFS(   N4:N1440,"2022", D4:D1440,"Bioética")</f>
        <v>1</v>
      </c>
      <c r="AH209" s="5">
        <f>COUNTIFS(   D4:D1440,"Bioética",G4:G1440,"Sí")</f>
        <v>0</v>
      </c>
      <c r="AI209" s="5">
        <f>COUNTIFS(   D4:D1440,"Bioética",G4:G1440,"No")</f>
        <v>1</v>
      </c>
      <c r="AJ209" s="5">
        <f>SUMIFS( E4:E1440, D4:D1440,"Bioética",G4:G1440,"Sí")</f>
        <v>0</v>
      </c>
      <c r="AK209" s="5">
        <f>SUMIFS( E4:E1440, D4:D1440,"Bioética",G4:G1440,"No")</f>
        <v>9</v>
      </c>
      <c r="AL209" s="5">
        <f>COUNTIFS(   D4:D1440,"Bioética",H4:H1440,"Sí")</f>
        <v>1</v>
      </c>
      <c r="AM209" s="5">
        <f>COUNTIFS(   D4:D1440,"Bioética",I4:I1440,"Sí")</f>
        <v>0</v>
      </c>
      <c r="AN209" s="5">
        <f>COUNTIFS(   D4:D1440,"Bioética",I4:I1440,"No")</f>
        <v>1</v>
      </c>
      <c r="AO209" s="5">
        <f>SUMIFS( E4:E1440, D4:D1440,"Bioética",I4:I1440,"Sí")</f>
        <v>0</v>
      </c>
      <c r="AP209" s="5">
        <f>SUMIFS( E4:E1440, D4:D1440,"Bioética",I4:I1440,"No")</f>
        <v>9</v>
      </c>
      <c r="AQ209" s="5">
        <f>COUNTIFS(   D4:D1440,"Bioética",J4:J1440,"Sí")</f>
        <v>1</v>
      </c>
      <c r="AR209" s="5">
        <f>COUNTIFS(   D4:D1440,"Bioética",K4:K1440,"Sí")</f>
        <v>0</v>
      </c>
      <c r="AS209" s="5">
        <f>COUNTIFS(   D4:D1440,"Bioética",L4:L1440,"Sí")</f>
        <v>0</v>
      </c>
      <c r="AT209" s="5">
        <f>SUMIFS( E4:E1440, D4:D1440,"Bioética")</f>
        <v>9</v>
      </c>
      <c r="AU209" s="5">
        <f>SUMIFS( E4:E1440, F4:F1440,"Hombre", D4:D1440,"Bioética")</f>
        <v>9</v>
      </c>
      <c r="AV209" s="5">
        <f>SUMIFS( E4:E1440, F4:F1440,"Mujer", D4:D1440,"Bioética")</f>
        <v>0</v>
      </c>
      <c r="AW209" s="19">
        <f>SUMIFS( E4:E1440, A4:A1440,"2018", D4:D1440,"Bioética")</f>
        <v>0</v>
      </c>
      <c r="AX209" s="5">
        <f>SUMIFS( E4:E1440, A4:A1440,"2019", D4:D1440,"Bioética")</f>
        <v>0</v>
      </c>
      <c r="AY209" s="5">
        <f>SUMIFS( E4:E1440, A4:A1440,"2020", D4:D1440,"Bioética")</f>
        <v>0</v>
      </c>
      <c r="AZ209" s="5">
        <f>SUMIFS( E4:E1440, A4:A1440,"2021", D4:D1440,"Bioética")</f>
        <v>9</v>
      </c>
      <c r="BA209" s="5">
        <f>SUMIFS( E4:E1440, A4:A1440,"2022", D4:D1440,"Bioética")</f>
        <v>0</v>
      </c>
      <c r="BB209" s="19">
        <f>SUMIFS( E4:E1440, N4:N1440,"2018", D4:D1440,"Bioética")</f>
        <v>0</v>
      </c>
      <c r="BC209" s="5">
        <f>SUMIFS( E4:E1440, N4:N1440,"2019", D4:D1440,"Bioética")</f>
        <v>0</v>
      </c>
      <c r="BD209" s="5">
        <f>SUMIFS( E4:E1440, N4:N1440,"2020", D4:D1440,"Bioética")</f>
        <v>0</v>
      </c>
      <c r="BE209" s="5">
        <f>SUMIFS( E4:E1440, N4:N1440,"2021", D4:D1440,"Bioética")</f>
        <v>0</v>
      </c>
      <c r="BF209" s="5">
        <f>SUMIFS( E4:E1440, N4:N1440,"2022", D4:D1440,"Bioética")</f>
        <v>9</v>
      </c>
      <c r="BG209" s="14">
        <f>AVERAGEIFS( E4:E1440, D4:D1440,"Bioética")</f>
        <v>9</v>
      </c>
      <c r="BH209" s="14"/>
      <c r="BI209" s="14"/>
      <c r="BJ209" s="14"/>
      <c r="BK209" s="14"/>
      <c r="BL209" s="37"/>
      <c r="BM209" s="14"/>
      <c r="BN209" s="14"/>
      <c r="BO209" s="14"/>
      <c r="BP209" s="14"/>
      <c r="BQ209" s="14"/>
      <c r="BR209" s="14"/>
    </row>
    <row r="210" spans="1:70" ht="15" customHeight="1">
      <c r="A210" s="24">
        <v>2018</v>
      </c>
      <c r="B210" s="24" t="s">
        <v>78</v>
      </c>
      <c r="C210" s="24" t="s">
        <v>683</v>
      </c>
      <c r="D210" s="24" t="s">
        <v>113</v>
      </c>
      <c r="E210" s="23">
        <v>3</v>
      </c>
      <c r="F210" s="24" t="s">
        <v>211</v>
      </c>
      <c r="G210" s="24" t="s">
        <v>225</v>
      </c>
      <c r="H210" s="23" t="s">
        <v>226</v>
      </c>
      <c r="I210" s="24" t="s">
        <v>225</v>
      </c>
      <c r="J210" s="23" t="s">
        <v>226</v>
      </c>
      <c r="K210" s="24" t="s">
        <v>226</v>
      </c>
      <c r="L210" s="23"/>
      <c r="M210" s="25">
        <v>43589</v>
      </c>
      <c r="N210" s="24">
        <v>2019</v>
      </c>
      <c r="O210" s="48" t="s">
        <v>415</v>
      </c>
      <c r="P210" s="49"/>
      <c r="Q210" s="49"/>
      <c r="R210" s="49"/>
      <c r="S210" s="49"/>
      <c r="T210" s="50"/>
      <c r="U210" s="5">
        <f>COUNTIFS(   D5:D1441,"Normatividad y racionalidad: organizaciones y políticas públicas")</f>
        <v>4</v>
      </c>
      <c r="V210" s="5">
        <f>COUNTIFS(   D5:D1441,"Normatividad y racionalidad: organizaciones y políticas públicas",F5:F1441,"Hombre")</f>
        <v>2</v>
      </c>
      <c r="W210" s="5">
        <f>COUNTIFS(   D5:D1441,"Normatividad y racionalidad: organizaciones y políticas públicas",F5:F1441,"Mujer")</f>
        <v>2</v>
      </c>
      <c r="X210" s="19">
        <f>COUNTIFS(   A5:A1441,"2018", D5:D1441,"Normatividad y racionalidad: organizaciones y políticas públicas")</f>
        <v>0</v>
      </c>
      <c r="Y210" s="5">
        <f>COUNTIFS(   A5:A1441,"2019", D5:D1441,"Normatividad y racionalidad: organizaciones y políticas públicas")</f>
        <v>3</v>
      </c>
      <c r="Z210" s="5">
        <f>COUNTIFS(   A5:A1441,"2020", D5:D1441,"Normatividad y racionalidad: organizaciones y políticas públicas")</f>
        <v>0</v>
      </c>
      <c r="AA210" s="5">
        <f>COUNTIFS(   A5:A1441,"2021", D5:D1441,"Normatividad y racionalidad: organizaciones y políticas públicas")</f>
        <v>1</v>
      </c>
      <c r="AB210" s="5">
        <f>COUNTIFS(  A5:A1441,"2022", D5:D1441,"Normatividad y racionalidad: organizaciones y políticas públicas")</f>
        <v>0</v>
      </c>
      <c r="AC210" s="19">
        <f>COUNTIFS(   N5:N1441,"2018", D5:D1441,"Normatividad y racionalidad: organizaciones y políticas públicas")</f>
        <v>0</v>
      </c>
      <c r="AD210" s="5">
        <f>COUNTIFS(   N5:N1441,"2019", D5:D1441,"Normatividad y racionalidad: organizaciones y políticas públicas")</f>
        <v>0</v>
      </c>
      <c r="AE210" s="5">
        <f>COUNTIFS(   N5:N1441,"2020", D5:D1441,"Normatividad y racionalidad: organizaciones y políticas públicas")</f>
        <v>3</v>
      </c>
      <c r="AF210" s="5">
        <f>COUNTIFS(   N5:N1441,"2021", D5:D1441,"Normatividad y racionalidad: organizaciones y políticas públicas")</f>
        <v>1</v>
      </c>
      <c r="AG210" s="5">
        <f>COUNTIFS(   N5:N1441,"2022", D5:D1441,"Normatividad y racionalidad: organizaciones y políticas públicas")</f>
        <v>0</v>
      </c>
      <c r="AH210" s="5">
        <f>COUNTIFS(   D5:D1441,"Normatividad y racionalidad: organizaciones y políticas públicas",G5:G1441,"Sí")</f>
        <v>1</v>
      </c>
      <c r="AI210" s="5">
        <f>COUNTIFS(   D5:D1441,"Normatividad y racionalidad: organizaciones y políticas públicas",G5:G1441,"No")</f>
        <v>3</v>
      </c>
      <c r="AJ210" s="5">
        <f>SUMIFS( E5:E1441, D5:D1441,"Normatividad y racionalidad: organizaciones y políticas públicas",G5:G1441,"Sí")</f>
        <v>1</v>
      </c>
      <c r="AK210" s="5">
        <f>SUMIFS( E5:E1441, D5:D1441,"Normatividad y racionalidad: organizaciones y políticas públicas",G5:G1441,"No")</f>
        <v>4</v>
      </c>
      <c r="AL210" s="5">
        <f>COUNTIFS(   D5:D1441,"Normatividad y racionalidad: organizaciones y políticas públicas",H5:H1441,"Sí")</f>
        <v>3</v>
      </c>
      <c r="AM210" s="5">
        <f>COUNTIFS(   D5:D1441,"Normatividad y racionalidad: organizaciones y políticas públicas",I5:I1441,"Sí")</f>
        <v>3</v>
      </c>
      <c r="AN210" s="5">
        <f>COUNTIFS(   D5:D1441,"Normatividad y racionalidad: organizaciones y políticas públicas",I5:I1441,"No")</f>
        <v>1</v>
      </c>
      <c r="AO210" s="5">
        <f>SUMIFS( E5:E1441, D5:D1441,"Normatividad y racionalidad: organizaciones y políticas públicas",I5:I1441,"Sí")</f>
        <v>4</v>
      </c>
      <c r="AP210" s="5">
        <f>SUMIFS( E5:E1441, D5:D1441,"Normatividad y racionalidad: organizaciones y políticas públicas",I5:I1441,"No")</f>
        <v>1</v>
      </c>
      <c r="AQ210" s="5">
        <f>COUNTIFS(   D5:D1441,"Normatividad y racionalidad: organizaciones y políticas públicas",J5:J1441,"Sí")</f>
        <v>4</v>
      </c>
      <c r="AR210" s="5">
        <f>COUNTIFS(   D5:D1441,"Normatividad y racionalidad: organizaciones y políticas públicas",K5:K1441,"Sí")</f>
        <v>1</v>
      </c>
      <c r="AS210" s="5">
        <f>COUNTIFS(   D5:D1441,"Normatividad y racionalidad: organizaciones y políticas públicas",L5:L1441,"Sí")</f>
        <v>0</v>
      </c>
      <c r="AT210" s="5">
        <f>SUMIFS( E5:E1441, D5:D1441,"Normatividad y racionalidad: organizaciones y políticas públicas")</f>
        <v>5</v>
      </c>
      <c r="AU210" s="5">
        <f>SUMIFS( E5:E1441, F5:F1441,"Hombre", D5:D1441,"Normatividad y racionalidad: organizaciones y políticas públicas")</f>
        <v>2</v>
      </c>
      <c r="AV210" s="5">
        <f>SUMIFS( E5:E1441, F5:F1441,"Mujer", D5:D1441,"Normatividad y racionalidad: organizaciones y políticas públicas")</f>
        <v>3</v>
      </c>
      <c r="AW210" s="19">
        <f>SUMIFS( E5:E1441, A5:A1441,"2018", D5:D1441,"Normatividad y racionalidad: organizaciones y políticas públicas")</f>
        <v>0</v>
      </c>
      <c r="AX210" s="5">
        <f>SUMIFS( E5:E1441, A5:A1441,"2019", D5:D1441,"Normatividad y racionalidad: organizaciones y políticas públicas")</f>
        <v>4</v>
      </c>
      <c r="AY210" s="5">
        <f>SUMIFS( E5:E1441, A5:A1441,"2020", D5:D1441,"Normatividad y racionalidad: organizaciones y políticas públicas")</f>
        <v>0</v>
      </c>
      <c r="AZ210" s="5">
        <f>SUMIFS( E5:E1441, A5:A1441,"2021", D5:D1441,"Normatividad y racionalidad: organizaciones y políticas públicas")</f>
        <v>1</v>
      </c>
      <c r="BA210" s="5">
        <f>SUMIFS( E5:E1441, A5:A1441,"2022", D5:D1441,"Normatividad y racionalidad: organizaciones y políticas públicas")</f>
        <v>0</v>
      </c>
      <c r="BB210" s="19">
        <f>SUMIFS( E5:E1441, N5:N1441,"2018", D5:D1441,"Normatividad y racionalidad: organizaciones y políticas públicas")</f>
        <v>0</v>
      </c>
      <c r="BC210" s="5">
        <f>SUMIFS( E5:E1441, N5:N1441,"2019", D5:D1441,"Normatividad y racionalidad: organizaciones y políticas públicas")</f>
        <v>0</v>
      </c>
      <c r="BD210" s="5">
        <f>SUMIFS( E5:E1441, N5:N1441,"2020", D5:D1441,"Normatividad y racionalidad: organizaciones y políticas públicas")</f>
        <v>4</v>
      </c>
      <c r="BE210" s="5">
        <f>SUMIFS( E5:E1441, N5:N1441,"2021", D5:D1441,"Normatividad y racionalidad: organizaciones y políticas públicas")</f>
        <v>1</v>
      </c>
      <c r="BF210" s="5">
        <f>SUMIFS( E5:E1441, N5:N1441,"2022", D5:D1441,"Normatividad y racionalidad: organizaciones y políticas públicas")</f>
        <v>0</v>
      </c>
      <c r="BG210" s="14">
        <f>AVERAGEIFS( E5:E1441, D5:D1441,"Normatividad y racionalidad: organizaciones y políticas públicas")</f>
        <v>1.25</v>
      </c>
      <c r="BH210" s="14"/>
      <c r="BI210" s="14"/>
      <c r="BJ210" s="14"/>
      <c r="BK210" s="14"/>
      <c r="BL210" s="37"/>
      <c r="BM210" s="14"/>
      <c r="BN210" s="14"/>
      <c r="BO210" s="14"/>
      <c r="BP210" s="14"/>
      <c r="BQ210" s="14"/>
      <c r="BR210" s="14"/>
    </row>
    <row r="211" spans="1:70" ht="15" customHeight="1">
      <c r="A211" s="24">
        <v>2018</v>
      </c>
      <c r="B211" s="24" t="s">
        <v>136</v>
      </c>
      <c r="C211" s="24" t="s">
        <v>137</v>
      </c>
      <c r="D211" s="24" t="s">
        <v>145</v>
      </c>
      <c r="E211" s="23">
        <v>24</v>
      </c>
      <c r="F211" s="24" t="s">
        <v>211</v>
      </c>
      <c r="G211" s="24" t="s">
        <v>225</v>
      </c>
      <c r="H211" s="23" t="s">
        <v>226</v>
      </c>
      <c r="I211" s="24" t="s">
        <v>226</v>
      </c>
      <c r="J211" s="23" t="s">
        <v>226</v>
      </c>
      <c r="K211" s="24" t="s">
        <v>226</v>
      </c>
      <c r="L211" s="23"/>
      <c r="M211" s="25">
        <v>43589</v>
      </c>
      <c r="N211" s="24">
        <v>2019</v>
      </c>
      <c r="O211" s="73" t="s">
        <v>173</v>
      </c>
      <c r="P211" s="74"/>
      <c r="Q211" s="74"/>
      <c r="R211" s="74"/>
      <c r="S211" s="74"/>
      <c r="T211" s="75"/>
      <c r="U211" s="5">
        <f>COUNTIFS(   D4:D1440,"Metafísica y Nihilismo: filosofía como terapia y el problema de las pasiones")</f>
        <v>3</v>
      </c>
      <c r="V211" s="5">
        <f>COUNTIFS(   D4:D1440,"Metafísica y Nihilismo: filosofía como terapia y el problema de las pasiones",F4:F1440,"Hombre")</f>
        <v>3</v>
      </c>
      <c r="W211" s="5">
        <f>COUNTIFS(   D4:D1440,"Metafísica y Nihilismo: filosofía como terapia y el problema de las pasiones",F4:F1440,"Mujer")</f>
        <v>0</v>
      </c>
      <c r="X211" s="19">
        <f>COUNTIFS(   A4:A1440,"2018", D4:D1440,"Metafísica y Nihilismo: filosofía como terapia y el problema de las pasiones")</f>
        <v>1</v>
      </c>
      <c r="Y211" s="5">
        <f>COUNTIFS(   A4:A1440,"2019", D4:D1440,"Metafísica y Nihilismo: filosofía como terapia y el problema de las pasiones")</f>
        <v>0</v>
      </c>
      <c r="Z211" s="5">
        <f>COUNTIFS(   A4:A1440,"2020", D4:D1440,"Metafísica y Nihilismo: filosofía como terapia y el problema de las pasiones")</f>
        <v>2</v>
      </c>
      <c r="AA211" s="5">
        <f>COUNTIFS(   A4:A1440,"2021", D4:D1440,"Metafísica y Nihilismo: filosofía como terapia y el problema de las pasiones")</f>
        <v>0</v>
      </c>
      <c r="AB211" s="5">
        <f>COUNTIFS(  A4:A1440,"2022", D4:D1440,"Metafísica y Nihilismo: filosofía como terapia y el problema de las pasiones")</f>
        <v>0</v>
      </c>
      <c r="AC211" s="19">
        <f>COUNTIFS(   N4:N1440,"2018", D4:D1440,"Metafísica y Nihilismo: filosofía como terapia y el problema de las pasiones")</f>
        <v>1</v>
      </c>
      <c r="AD211" s="5">
        <f>COUNTIFS(   N4:N1440,"2019", D4:D1440,"Metafísica y Nihilismo: filosofía como terapia y el problema de las pasiones")</f>
        <v>0</v>
      </c>
      <c r="AE211" s="5">
        <f>COUNTIFS(   N4:N1440,"2020", D4:D1440,"Metafísica y Nihilismo: filosofía como terapia y el problema de las pasiones")</f>
        <v>1</v>
      </c>
      <c r="AF211" s="5">
        <f>COUNTIFS(   N4:N1440,"2021", D4:D1440,"Metafísica y Nihilismo: filosofía como terapia y el problema de las pasiones")</f>
        <v>1</v>
      </c>
      <c r="AG211" s="5">
        <f>COUNTIFS(   N4:N1440,"2022", D4:D1440,"Metafísica y Nihilismo: filosofía como terapia y el problema de las pasiones")</f>
        <v>0</v>
      </c>
      <c r="AH211" s="5">
        <f>COUNTIFS(   D4:D1440,"Metafísica y Nihilismo: filosofía como terapia y el problema de las pasiones",G4:G1440,"Sí")</f>
        <v>0</v>
      </c>
      <c r="AI211" s="5">
        <f>COUNTIFS(   D4:D1440,"Metafísica y Nihilismo: filosofía como terapia y el problema de las pasiones",G4:G1440,"No")</f>
        <v>3</v>
      </c>
      <c r="AJ211" s="5">
        <f>SUMIFS( E4:E1440, D4:D1440,"Metafísica y Nihilismo: filosofía como terapia y el problema de las pasiones",G4:G1440,"Sí")</f>
        <v>0</v>
      </c>
      <c r="AK211" s="5">
        <f>SUMIFS( E4:E1440, D4:D1440,"Metafísica y Nihilismo: filosofía como terapia y el problema de las pasiones",G4:G1440,"No")</f>
        <v>3</v>
      </c>
      <c r="AL211" s="5">
        <f>COUNTIFS(   D4:D1440,"Metafísica y Nihilismo: filosofía como terapia y el problema de las pasiones",H4:H1440,"Sí")</f>
        <v>2</v>
      </c>
      <c r="AM211" s="5">
        <f>COUNTIFS(   D4:D1440,"Metafísica y Nihilismo: filosofía como terapia y el problema de las pasiones",I4:I1440,"Sí")</f>
        <v>0</v>
      </c>
      <c r="AN211" s="5">
        <f>COUNTIFS(   D4:D1440,"Metafísica y Nihilismo: filosofía como terapia y el problema de las pasiones",I4:I1440,"No")</f>
        <v>3</v>
      </c>
      <c r="AO211" s="5">
        <f>SUMIFS( E4:E1440, D4:D1440,"Metafísica y Nihilismo: filosofía como terapia y el problema de las pasiones",I4:I1440,"Sí")</f>
        <v>0</v>
      </c>
      <c r="AP211" s="5">
        <f>SUMIFS( E4:E1440, D4:D1440,"Metafísica y Nihilismo: filosofía como terapia y el problema de las pasiones",I4:I1440,"No")</f>
        <v>3</v>
      </c>
      <c r="AQ211" s="5">
        <f>COUNTIFS(   D4:D1440,"Metafísica y Nihilismo: filosofía como terapia y el problema de las pasiones",J4:J1440,"Sí")</f>
        <v>3</v>
      </c>
      <c r="AR211" s="5">
        <f>COUNTIFS(   D4:D1440,"Metafísica y Nihilismo: filosofía como terapia y el problema de las pasiones",K4:K1440,"Sí")</f>
        <v>1</v>
      </c>
      <c r="AS211" s="5">
        <f>COUNTIFS(   D4:D1440,"Metafísica y Nihilismo: filosofía como terapia y el problema de las pasiones",L4:L1440,"Sí")</f>
        <v>0</v>
      </c>
      <c r="AT211" s="5">
        <f>SUMIFS( E4:E1440, D4:D1440,"Metafísica y Nihilismo: filosofía como terapia y el problema de las pasiones")</f>
        <v>3</v>
      </c>
      <c r="AU211" s="5">
        <f>SUMIFS( E4:E1440, F4:F1440,"Hombre", D4:D1440,"Metafísica y Nihilismo: filosofía como terapia y el problema de las pasiones")</f>
        <v>3</v>
      </c>
      <c r="AV211" s="5">
        <f>SUMIFS( E4:E1440, F4:F1440,"Mujer", D4:D1440,"Metafísica y Nihilismo: filosofía como terapia y el problema de las pasiones")</f>
        <v>0</v>
      </c>
      <c r="AW211" s="19">
        <f>SUMIFS( E4:E1440, A4:A1440,"2018", D4:D1440,"Metafísica y Nihilismo: filosofía como terapia y el problema de las pasiones")</f>
        <v>2</v>
      </c>
      <c r="AX211" s="5">
        <f>SUMIFS( E4:E1440, A4:A1440,"2019", D4:D1440,"Metafísica y Nihilismo: filosofía como terapia y el problema de las pasiones")</f>
        <v>0</v>
      </c>
      <c r="AY211" s="5">
        <f>SUMIFS( E4:E1440, A4:A1440,"2020", D4:D1440,"Metafísica y Nihilismo: filosofía como terapia y el problema de las pasiones")</f>
        <v>1</v>
      </c>
      <c r="AZ211" s="5">
        <f>SUMIFS( E4:E1440, A4:A1440,"2021", D4:D1440,"Metafísica y Nihilismo: filosofía como terapia y el problema de las pasiones")</f>
        <v>0</v>
      </c>
      <c r="BA211" s="5">
        <f>SUMIFS( E4:E1440, A4:A1440,"2022", D4:D1440,"Metafísica y Nihilismo: filosofía como terapia y el problema de las pasiones")</f>
        <v>0</v>
      </c>
      <c r="BB211" s="19">
        <f>SUMIFS( E4:E1440, N4:N1440,"2018", D4:D1440,"Metafísica y Nihilismo: filosofía como terapia y el problema de las pasiones")</f>
        <v>2</v>
      </c>
      <c r="BC211" s="5">
        <f>SUMIFS( E4:E1440, N4:N1440,"2019", D4:D1440,"Metafísica y Nihilismo: filosofía como terapia y el problema de las pasiones")</f>
        <v>0</v>
      </c>
      <c r="BD211" s="5">
        <f>SUMIFS( E4:E1440, N4:N1440,"2020", D4:D1440,"Metafísica y Nihilismo: filosofía como terapia y el problema de las pasiones")</f>
        <v>0</v>
      </c>
      <c r="BE211" s="5">
        <f>SUMIFS( E4:E1440, N4:N1440,"2021", D4:D1440,"Metafísica y Nihilismo: filosofía como terapia y el problema de las pasiones")</f>
        <v>1</v>
      </c>
      <c r="BF211" s="5">
        <f>SUMIFS( E4:E1440, N4:N1440,"2022", D4:D1440,"Metafísica y Nihilismo: filosofía como terapia y el problema de las pasiones")</f>
        <v>0</v>
      </c>
      <c r="BG211" s="14">
        <f>AVERAGEIFS( E4:E1440, D4:D1440,"Metafísica y Nihilismo: filosofía como terapia y el problema de las pasiones")</f>
        <v>1.5</v>
      </c>
      <c r="BH211" s="14">
        <v>0</v>
      </c>
      <c r="BI211" s="14">
        <v>0</v>
      </c>
      <c r="BJ211" s="14">
        <v>0</v>
      </c>
      <c r="BK211" s="14">
        <v>0</v>
      </c>
      <c r="BL211" s="37" t="e">
        <f>AVERAGEIFS( E4:E1440, A4:A1440,"2022", D4:D1440,"Metafísica y Nihilismo: filosofía como terapia y el problema de las pasiones")</f>
        <v>#DIV/0!</v>
      </c>
      <c r="BM211" s="14">
        <v>14</v>
      </c>
      <c r="BN211" s="14">
        <v>0</v>
      </c>
      <c r="BO211" s="14">
        <v>0</v>
      </c>
      <c r="BP211" s="14">
        <v>0</v>
      </c>
      <c r="BQ211" s="14">
        <v>0</v>
      </c>
      <c r="BR211" s="14">
        <v>14</v>
      </c>
    </row>
    <row r="212" spans="1:70">
      <c r="A212" s="24">
        <v>2018</v>
      </c>
      <c r="B212" s="24" t="s">
        <v>4</v>
      </c>
      <c r="C212" s="24" t="s">
        <v>5</v>
      </c>
      <c r="D212" s="24" t="s">
        <v>10</v>
      </c>
      <c r="E212" s="23">
        <v>2</v>
      </c>
      <c r="F212" s="24" t="s">
        <v>211</v>
      </c>
      <c r="G212" s="24" t="s">
        <v>225</v>
      </c>
      <c r="H212" s="23" t="s">
        <v>226</v>
      </c>
      <c r="I212" s="24" t="s">
        <v>226</v>
      </c>
      <c r="J212" s="23" t="s">
        <v>226</v>
      </c>
      <c r="K212" s="24" t="s">
        <v>226</v>
      </c>
      <c r="L212" s="23"/>
      <c r="M212" s="25">
        <v>43589</v>
      </c>
      <c r="N212" s="24">
        <v>2019</v>
      </c>
      <c r="O212" s="73" t="s">
        <v>174</v>
      </c>
      <c r="P212" s="74"/>
      <c r="Q212" s="74"/>
      <c r="R212" s="74"/>
      <c r="S212" s="74"/>
      <c r="T212" s="75"/>
      <c r="U212" s="5">
        <f>COUNTIFS(   D4:D1440,"Lenguaje, mente y conocimiento: perspectivas formales y pragmáticas")</f>
        <v>7</v>
      </c>
      <c r="V212" s="5">
        <f>COUNTIFS(   D4:D1440,"Lenguaje, mente y conocimiento: perspectivas formales y pragmáticas",F4:F1440,"Hombre")</f>
        <v>7</v>
      </c>
      <c r="W212" s="5">
        <f>COUNTIFS(   D4:D1440,"Lenguaje, mente y conocimiento: perspectivas formales y pragmáticas",F4:F1440,"Mujer")</f>
        <v>0</v>
      </c>
      <c r="X212" s="19">
        <v>0</v>
      </c>
      <c r="Y212" s="5">
        <v>0</v>
      </c>
      <c r="Z212" s="5">
        <v>0</v>
      </c>
      <c r="AA212" s="5">
        <v>0</v>
      </c>
      <c r="AB212" s="5">
        <v>0</v>
      </c>
      <c r="AC212" s="19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f>COUNTIFS(   D4:D1440,"Lenguaje, mente y conocimiento: perspectivas formales y pragmáticas",G4:G1440,"Sí")</f>
        <v>0</v>
      </c>
      <c r="AI212" s="5">
        <f>COUNTIFS(   D4:D1440,"Lenguaje, mente y conocimiento: perspectivas formales y pragmáticas",G4:G1440,"No")</f>
        <v>7</v>
      </c>
      <c r="AJ212" s="5">
        <f>SUMIFS( E4:E1440, D4:D1440,"Lenguaje, mente y conocimiento: perspectivas formales y pragmáticas",G4:G1440,"Sí")</f>
        <v>0</v>
      </c>
      <c r="AK212" s="5">
        <f>SUMIFS( E4:E1440, D4:D1440,"Lenguaje, mente y conocimiento: perspectivas formales y pragmáticas",G4:G1440,"No")</f>
        <v>32</v>
      </c>
      <c r="AL212" s="5">
        <f>COUNTIFS(   D4:D1440,"Lenguaje, mente y conocimiento: perspectivas formales y pragmáticas",H4:H1440,"Sí")</f>
        <v>6</v>
      </c>
      <c r="AM212" s="5">
        <f>COUNTIFS(   D4:D1440,"Lenguaje, mente y conocimiento: perspectivas formales y pragmáticas",I4:I1440,"Sí")</f>
        <v>7</v>
      </c>
      <c r="AN212" s="5">
        <f>COUNTIFS(   D4:D1440,"Lenguaje, mente y conocimiento: perspectivas formales y pragmáticas",I4:I1440,"No")</f>
        <v>0</v>
      </c>
      <c r="AO212" s="5">
        <f>SUMIFS( E4:E1440, D4:D1440,"Lenguaje, mente y conocimiento: perspectivas formales y pragmáticas",I4:I1440,"Sí")</f>
        <v>32</v>
      </c>
      <c r="AP212" s="5">
        <f>SUMIFS( E4:E1440, D4:D1440,"Lenguaje, mente y conocimiento: perspectivas formales y pragmáticas",I4:I1440,"No")</f>
        <v>0</v>
      </c>
      <c r="AQ212" s="5">
        <f>COUNTIFS(   D4:D1440,"Lenguaje, mente y conocimiento: perspectivas formales y pragmáticas",J4:J1440,"Sí")</f>
        <v>7</v>
      </c>
      <c r="AR212" s="5">
        <f>COUNTIFS(   D4:D1440,"Lenguaje, mente y conocimiento: perspectivas formales y pragmáticas",K4:K1440,"Sí")</f>
        <v>5</v>
      </c>
      <c r="AS212" s="5">
        <f>COUNTIFS(   D4:D1440,"Lenguaje, mente y conocimiento: perspectivas formales y pragmáticas",L4:L1440,"Sí")</f>
        <v>0</v>
      </c>
      <c r="AT212" s="5">
        <f>SUMIFS( E4:E1440, D4:D1440,"Lenguaje, mente y conocimiento: perspectivas formales y pragmáticas")</f>
        <v>32</v>
      </c>
      <c r="AU212" s="5">
        <v>0</v>
      </c>
      <c r="AV212" s="5">
        <v>0</v>
      </c>
      <c r="AW212" s="19">
        <v>0</v>
      </c>
      <c r="AX212" s="5">
        <v>0</v>
      </c>
      <c r="AY212" s="5">
        <v>0</v>
      </c>
      <c r="AZ212" s="5">
        <v>0</v>
      </c>
      <c r="BA212" s="5">
        <v>0</v>
      </c>
      <c r="BB212" s="19">
        <v>0</v>
      </c>
      <c r="BC212" s="5">
        <v>0</v>
      </c>
      <c r="BD212" s="5">
        <v>0</v>
      </c>
      <c r="BE212" s="5">
        <v>0</v>
      </c>
      <c r="BF212" s="5">
        <v>0</v>
      </c>
      <c r="BG212" s="14">
        <f>AVERAGEIFS( E4:E1440, D4:D1440,"Lenguaje, mente y conocimiento: perspectivas formales y pragmáticas")</f>
        <v>4.5714285714285712</v>
      </c>
      <c r="BH212" s="14">
        <v>0</v>
      </c>
      <c r="BI212" s="14">
        <v>0</v>
      </c>
      <c r="BJ212" s="14">
        <v>0</v>
      </c>
      <c r="BK212" s="14">
        <v>0</v>
      </c>
      <c r="BL212" s="37">
        <v>0</v>
      </c>
      <c r="BM212" s="14">
        <v>0</v>
      </c>
      <c r="BN212" s="14">
        <v>0</v>
      </c>
      <c r="BO212" s="14">
        <v>0</v>
      </c>
      <c r="BP212" s="14">
        <v>0</v>
      </c>
      <c r="BQ212" s="14">
        <v>0</v>
      </c>
      <c r="BR212" s="14">
        <v>0</v>
      </c>
    </row>
    <row r="213" spans="1:70" ht="15" customHeight="1">
      <c r="A213" s="24">
        <v>2018</v>
      </c>
      <c r="B213" s="24" t="s">
        <v>78</v>
      </c>
      <c r="C213" s="24" t="s">
        <v>683</v>
      </c>
      <c r="D213" s="24" t="s">
        <v>113</v>
      </c>
      <c r="E213" s="23">
        <v>4</v>
      </c>
      <c r="F213" s="24" t="s">
        <v>211</v>
      </c>
      <c r="G213" s="24" t="s">
        <v>225</v>
      </c>
      <c r="H213" s="23" t="s">
        <v>226</v>
      </c>
      <c r="I213" s="24" t="s">
        <v>226</v>
      </c>
      <c r="J213" s="23" t="s">
        <v>226</v>
      </c>
      <c r="K213" s="24" t="s">
        <v>226</v>
      </c>
      <c r="L213" s="23"/>
      <c r="M213" s="25">
        <v>43589</v>
      </c>
      <c r="N213" s="24">
        <v>2019</v>
      </c>
      <c r="O213" s="73" t="s">
        <v>175</v>
      </c>
      <c r="P213" s="74"/>
      <c r="Q213" s="74"/>
      <c r="R213" s="74"/>
      <c r="S213" s="74"/>
      <c r="T213" s="75"/>
      <c r="U213" s="5">
        <f>COUNTIFS(   D4:D1440,"Hermenéutica: crítica y diferencia. Problemas interculturales")</f>
        <v>3</v>
      </c>
      <c r="V213" s="5">
        <f>COUNTIFS(   D4:D1440,"Hermenéutica: crítica y diferencia. Problemas interculturales",F4:F1440,"Hombre")</f>
        <v>2</v>
      </c>
      <c r="W213" s="5">
        <f>COUNTIFS(   D4:D1440,"Hermenéutica: crítica y diferencia. Problemas interculturales",F4:F1440,"Mujer")</f>
        <v>1</v>
      </c>
      <c r="X213" s="19">
        <f>COUNTIFS(   A4:A1440,"2018", D4:D1440,"Hermenéutica: crítica y diferencia. Problemas interculturales")</f>
        <v>1</v>
      </c>
      <c r="Y213" s="5">
        <f>COUNTIFS(   A4:A1440,"2019", D4:D1440,"Hermenéutica: crítica y diferencia. Problemas interculturales")</f>
        <v>2</v>
      </c>
      <c r="Z213" s="5">
        <f>COUNTIFS(   A4:A1440,"2020", D4:D1440,"Hermenéutica: crítica y diferencia. Problemas interculturales")</f>
        <v>0</v>
      </c>
      <c r="AA213" s="5">
        <f>COUNTIFS(   A4:A1440,"2021", D4:D1440,"Hermenéutica: crítica y diferencia. Problemas interculturales")</f>
        <v>0</v>
      </c>
      <c r="AB213" s="5">
        <f>COUNTIFS(  A4:A1440,"2022", D4:D1440,"Hermenéutica: crítica y diferencia. Problemas interculturales")</f>
        <v>0</v>
      </c>
      <c r="AC213" s="19">
        <f>COUNTIFS(   N4:N1440,"2018", D4:D1440,"Hermenéutica: crítica y diferencia. Problemas interculturales")</f>
        <v>0</v>
      </c>
      <c r="AD213" s="5">
        <f>COUNTIFS(   N4:N1440,"2019", D4:D1440,"Hermenéutica: crítica y diferencia. Problemas interculturales")</f>
        <v>2</v>
      </c>
      <c r="AE213" s="5">
        <f>COUNTIFS(   N4:N1440,"2020", D4:D1440,"Hermenéutica: crítica y diferencia. Problemas interculturales")</f>
        <v>1</v>
      </c>
      <c r="AF213" s="5">
        <f>COUNTIFS(   N4:N1440,"2021", D4:D1440,"Hermenéutica: crítica y diferencia. Problemas interculturales")</f>
        <v>0</v>
      </c>
      <c r="AG213" s="5">
        <f>COUNTIFS(   N4:N1440,"2022", D4:D1440,"Hermenéutica: crítica y diferencia. Problemas interculturales")</f>
        <v>0</v>
      </c>
      <c r="AH213" s="5">
        <f>COUNTIFS(   D4:D1440,"Hermenéutica: crítica y diferencia. Problemas interculturales",G4:G1440,"Sí")</f>
        <v>1</v>
      </c>
      <c r="AI213" s="5">
        <f>COUNTIFS(   D4:D1440,"Hermenéutica: crítica y diferencia. Problemas interculturales",G4:G1440,"No")</f>
        <v>2</v>
      </c>
      <c r="AJ213" s="5">
        <f>SUMIFS( E4:E1440, D4:D1440,"Hermenéutica: crítica y diferencia. Problemas interculturales",G4:G1440,"Sí")</f>
        <v>0</v>
      </c>
      <c r="AK213" s="5">
        <f>SUMIFS( E4:E1440, D4:D1440,"Hermenéutica: crítica y diferencia. Problemas interculturales",G4:G1440,"No")</f>
        <v>3</v>
      </c>
      <c r="AL213" s="5">
        <f>COUNTIFS(   D4:D1440,"Hermenéutica: crítica y diferencia. Problemas interculturales",H4:H1440,"Sí")</f>
        <v>0</v>
      </c>
      <c r="AM213" s="5">
        <f>COUNTIFS(   D4:D1440,"Hermenéutica: crítica y diferencia. Problemas interculturales",I4:I1440,"Sí")</f>
        <v>3</v>
      </c>
      <c r="AN213" s="5">
        <f>COUNTIFS(   D4:D1440,"Hermenéutica: crítica y diferencia. Problemas interculturales",I4:I1440,"No")</f>
        <v>0</v>
      </c>
      <c r="AO213" s="5">
        <f>SUMIFS( E4:E1440, D4:D1440,"Hermenéutica: crítica y diferencia. Problemas interculturales",I4:I1440,"Sí")</f>
        <v>3</v>
      </c>
      <c r="AP213" s="5">
        <f>SUMIFS( E4:E1440, D4:D1440,"Hermenéutica: crítica y diferencia. Problemas interculturales",I4:I1440,"No")</f>
        <v>0</v>
      </c>
      <c r="AQ213" s="5">
        <f>COUNTIFS(   D4:D1440,"Hermenéutica: crítica y diferencia. Problemas interculturales",J4:J1440,"Sí")</f>
        <v>3</v>
      </c>
      <c r="AR213" s="5">
        <f>COUNTIFS(   D4:D1440,"Hermenéutica: crítica y diferencia. Problemas interculturales",K4:K1440,"Sí")</f>
        <v>2</v>
      </c>
      <c r="AS213" s="5">
        <f>COUNTIFS(   D4:D1440,"Hermenéutica: crítica y diferencia. Problemas interculturales",L4:L1440,"Sí")</f>
        <v>0</v>
      </c>
      <c r="AT213" s="5">
        <f>SUMIFS( E4:E1440, D4:D1440,"Hermenéutica: crítica y diferencia. Problemas interculturales")</f>
        <v>3</v>
      </c>
      <c r="AU213" s="5">
        <f>SUMIFS( E4:E1440, F4:F1440,"Hombre", D4:D1440,"Hermenéutica: crítica y diferencia. Problemas interculturales")</f>
        <v>3</v>
      </c>
      <c r="AV213" s="5">
        <f>SUMIFS( E4:E1440, F4:F1440,"Mujer", D4:D1440,"Hermenéutica: crítica y diferencia. Problemas interculturales")</f>
        <v>0</v>
      </c>
      <c r="AW213" s="19">
        <f>SUMIFS( E4:E1440, A4:A1440,"2018", D4:D1440,"Hermenéutica: crítica y diferencia. Problemas interculturales")</f>
        <v>0</v>
      </c>
      <c r="AX213" s="5">
        <f>SUMIFS( E4:E1440, A4:A1440,"2019", D4:D1440,"Hermenéutica: crítica y diferencia. Problemas interculturales")</f>
        <v>3</v>
      </c>
      <c r="AY213" s="5">
        <f>SUMIFS( E4:E1440, A4:A1440,"2020", D4:D1440,"Hermenéutica: crítica y diferencia. Problemas interculturales")</f>
        <v>0</v>
      </c>
      <c r="AZ213" s="5">
        <f>SUMIFS( E4:E1440, A4:A1440,"2021", D4:D1440,"Hermenéutica: crítica y diferencia. Problemas interculturales")</f>
        <v>0</v>
      </c>
      <c r="BA213" s="5">
        <f>SUMIFS( E4:E1440, A4:A1440,"2022", D4:D1440,"Hermenéutica: crítica y diferencia. Problemas interculturales")</f>
        <v>0</v>
      </c>
      <c r="BB213" s="19">
        <f>SUMIFS( E4:E1440, N4:N1440,"2018", D4:D1440,"Hermenéutica: crítica y diferencia. Problemas interculturales")</f>
        <v>0</v>
      </c>
      <c r="BC213" s="5">
        <f>SUMIFS( E4:E1440, N4:N1440,"2019", D4:D1440,"Hermenéutica: crítica y diferencia. Problemas interculturales")</f>
        <v>3</v>
      </c>
      <c r="BD213" s="5">
        <f>SUMIFS( E4:E1440, N4:N1440,"2020", D4:D1440,"Hermenéutica: crítica y diferencia. Problemas interculturales")</f>
        <v>0</v>
      </c>
      <c r="BE213" s="5">
        <f>SUMIFS( E4:E1440, N4:N1440,"2021", D4:D1440,"Hermenéutica: crítica y diferencia. Problemas interculturales")</f>
        <v>0</v>
      </c>
      <c r="BF213" s="5">
        <f>SUMIFS( E4:E1440, N4:N1440,"2022", D4:D1440,"Hermenéutica: crítica y diferencia. Problemas interculturales")</f>
        <v>0</v>
      </c>
      <c r="BG213" s="14">
        <f>AVERAGEIFS( E4:E1440, D4:D1440,"Hermenéutica: crítica y diferencia. Problemas interculturales")</f>
        <v>3</v>
      </c>
      <c r="BH213" s="14">
        <v>0</v>
      </c>
      <c r="BI213" s="14">
        <v>0</v>
      </c>
      <c r="BJ213" s="14">
        <v>0</v>
      </c>
      <c r="BK213" s="14" t="e">
        <f>AVERAGEIFS( E4:E1440, A4:A1440,"2021", D4:D1440,"Hermenéutica: crítica y diferencia. Problemas interculturales")</f>
        <v>#DIV/0!</v>
      </c>
      <c r="BL213" s="37">
        <v>0</v>
      </c>
      <c r="BM213" s="14">
        <v>7</v>
      </c>
      <c r="BN213" s="14">
        <v>0</v>
      </c>
      <c r="BO213" s="14">
        <v>0</v>
      </c>
      <c r="BP213" s="14">
        <v>0</v>
      </c>
      <c r="BQ213" s="14">
        <v>7</v>
      </c>
      <c r="BR213" s="14">
        <v>0</v>
      </c>
    </row>
    <row r="214" spans="1:70" ht="15" customHeight="1">
      <c r="A214" s="24">
        <v>2018</v>
      </c>
      <c r="B214" s="24" t="s">
        <v>4</v>
      </c>
      <c r="C214" s="24" t="s">
        <v>23</v>
      </c>
      <c r="D214" s="24" t="s">
        <v>28</v>
      </c>
      <c r="E214" s="23"/>
      <c r="F214" s="24" t="s">
        <v>211</v>
      </c>
      <c r="G214" s="24" t="s">
        <v>225</v>
      </c>
      <c r="H214" s="23" t="s">
        <v>225</v>
      </c>
      <c r="I214" s="24" t="s">
        <v>226</v>
      </c>
      <c r="J214" s="23" t="s">
        <v>226</v>
      </c>
      <c r="K214" s="24" t="s">
        <v>226</v>
      </c>
      <c r="L214" s="23"/>
      <c r="M214" s="25">
        <v>43589</v>
      </c>
      <c r="N214" s="24">
        <v>2019</v>
      </c>
      <c r="O214" s="40" t="s">
        <v>76</v>
      </c>
      <c r="P214" s="43"/>
      <c r="Q214" s="43"/>
      <c r="R214" s="43"/>
      <c r="S214" s="43"/>
      <c r="T214" s="44"/>
      <c r="U214" s="4">
        <f>COUNTIFS(   C4:C1440,"Historia y Artes")</f>
        <v>146</v>
      </c>
      <c r="V214" s="4">
        <f>COUNTIFS(   C4:C1440,"Historia y Artes",F4:F1440,"Hombre")</f>
        <v>73</v>
      </c>
      <c r="W214" s="4">
        <f>COUNTIFS(   C4:C1440,"Historia y Artes",F4:F1440,"Mujer")</f>
        <v>73</v>
      </c>
      <c r="X214" s="18">
        <f>COUNTIFS(   A4:A1440,"2018", C4:C1440,"Historia y Artes")</f>
        <v>43</v>
      </c>
      <c r="Y214" s="4">
        <f>COUNTIFS(   A4:A1440,"2019", C4:C1440,"Historia y Artes")</f>
        <v>35</v>
      </c>
      <c r="Z214" s="4">
        <f>COUNTIFS(   A4:A1440,"2020", C4:C1440,"Historia y Artes")</f>
        <v>44</v>
      </c>
      <c r="AA214" s="4">
        <f>COUNTIFS(   A4:A1440,"2021", C4:C1440,"Historia y Artes")</f>
        <v>24</v>
      </c>
      <c r="AB214" s="4">
        <f>COUNTIFS(   A4:A1440,"2022", C4:C1440,"Historia y Artes")</f>
        <v>0</v>
      </c>
      <c r="AC214" s="18">
        <f>COUNTIFS(   N4:N1440,"2018", C4:C1440,"Historia y Artes")</f>
        <v>14</v>
      </c>
      <c r="AD214" s="4">
        <f>COUNTIFS(   N4:N1440,"2019", C4:C1440,"Historia y Artes")</f>
        <v>44</v>
      </c>
      <c r="AE214" s="4">
        <f>COUNTIFS(   N4:N1440,"2020", C4:C1440,"Historia y Artes")</f>
        <v>26</v>
      </c>
      <c r="AF214" s="4">
        <f>COUNTIFS(   N4:N1440,"2021", C4:C1440,"Historia y Artes")</f>
        <v>47</v>
      </c>
      <c r="AG214" s="4">
        <f>COUNTIFS(   N4:N1440,"2022", C4:C1440,"Historia y Artes")</f>
        <v>15</v>
      </c>
      <c r="AH214" s="4">
        <f>COUNTIFS(   C4:C1440,"Historia y Artes",G4:G1440,"Sí")</f>
        <v>7</v>
      </c>
      <c r="AI214" s="4">
        <f>COUNTIFS(   C4:C1440,"Historia y Artes",G4:G1440,"No")</f>
        <v>139</v>
      </c>
      <c r="AJ214" s="4">
        <f>SUMIFS( E4:E1440, C4:C1440,"Historia y Artes",G4:G1440,"Sí")</f>
        <v>46</v>
      </c>
      <c r="AK214" s="4">
        <f>SUMIFS( E4:E1440, C4:C1440,"Historia y Artes",G4:G1440,"No")</f>
        <v>315</v>
      </c>
      <c r="AL214" s="4">
        <f>COUNTIFS(   C4:C1440,"Historia y Artes",H4:H1440,"Sí")</f>
        <v>82</v>
      </c>
      <c r="AM214" s="4">
        <f>COUNTIFS(   C4:C1440,"Historia y Artes",I4:I1440,"Sí")</f>
        <v>54</v>
      </c>
      <c r="AN214" s="4">
        <f>COUNTIFS(   C4:C1440,"Historia y Artes",I4:I1440,"No")</f>
        <v>92</v>
      </c>
      <c r="AO214" s="4">
        <f>SUMIFS( E4:E1440, C4:C1440,"Historia y Artes",I4:I1440,"Sí")</f>
        <v>255</v>
      </c>
      <c r="AP214" s="4">
        <f>SUMIFS( E4:E1440, C4:C1440,"Historia y Artes",I4:I1440,"No")</f>
        <v>106</v>
      </c>
      <c r="AQ214" s="4">
        <f>COUNTIFS(   C4:C1440,"Historia y Artes",J4:J1440,"Sí")</f>
        <v>146</v>
      </c>
      <c r="AR214" s="4">
        <f>COUNTIFS(   C4:C1440,"Historia y Artes",K4:K1440,"Sí")</f>
        <v>60</v>
      </c>
      <c r="AS214" s="4">
        <f>COUNTIFS(   C4:C1440,"Historia y Artes",L4:L1440,"Sí")</f>
        <v>0</v>
      </c>
      <c r="AT214" s="4">
        <f>SUMIFS( E4:E1440, C4:C1440,"Historia y Artes")</f>
        <v>361</v>
      </c>
      <c r="AU214" s="4">
        <f>SUMIFS( E4:E1440, F4:F1440,"Hombre", C4:C1440,"Historia y Artes")</f>
        <v>154</v>
      </c>
      <c r="AV214" s="4">
        <f>SUMIFS( E4:E1440, F4:F1440,"Mujer", C4:C1440,"Historia y Artes")</f>
        <v>207</v>
      </c>
      <c r="AW214" s="18">
        <f>SUMIFS( E4:E1440, A4:A1440,"2018", C4:C1440,"Historia y Artes")</f>
        <v>137</v>
      </c>
      <c r="AX214" s="4">
        <f>SUMIFS( E4:E1440, A4:A1440,"2019", C4:C1440,"Historia y Artes")</f>
        <v>92</v>
      </c>
      <c r="AY214" s="4">
        <f>SUMIFS( E4:E1440, A4:A1440,"2020", C4:C1440,"Historia y Artes")</f>
        <v>93</v>
      </c>
      <c r="AZ214" s="4">
        <f>SUMIFS( E4:E1440, A4:A1440,"2021", C4:C1440,"Historia y Artes")</f>
        <v>39</v>
      </c>
      <c r="BA214" s="4">
        <f>SUMIFS( E4:E1440, A4:A1440,"2022", C4:C1440,"Historia y Artes")</f>
        <v>0</v>
      </c>
      <c r="BB214" s="18">
        <f>SUMIFS( E4:E1440, N4:N1440,"2018", C4:C1440,"Historia y Artes")</f>
        <v>86</v>
      </c>
      <c r="BC214" s="4">
        <f>SUMIFS( E4:E1440, N4:N1440,"2019", C4:C1440,"Historia y Artes")</f>
        <v>85</v>
      </c>
      <c r="BD214" s="4">
        <f>SUMIFS( E4:E1440, N4:N1440,"2020", C4:C1440,"Historia y Artes")</f>
        <v>67</v>
      </c>
      <c r="BE214" s="4">
        <f>SUMIFS( E4:E1440, N4:N1440,"2021", C4:C1440,"Historia y Artes")</f>
        <v>91</v>
      </c>
      <c r="BF214" s="4">
        <f>SUMIFS( E4:E1440, N4:N1440,"2022", C4:C1440,"Historia y Artes")</f>
        <v>32</v>
      </c>
      <c r="BG214" s="13">
        <f>AVERAGEIFS( E4:E1440, C4:C1440,"Historia y Artes")</f>
        <v>4.1976744186046515</v>
      </c>
      <c r="BH214" s="13">
        <v>0</v>
      </c>
      <c r="BI214" s="13">
        <v>0</v>
      </c>
      <c r="BJ214" s="13">
        <f>AVERAGEIFS( E4:E1440, A4:A1440,"2020", C4:C1440,"Historia y Artes")</f>
        <v>3.72</v>
      </c>
      <c r="BK214" s="13">
        <f>AVERAGEIFS( E4:E1440, A4:A1440,"2021", C4:C1440,"Historia y Artes")</f>
        <v>3.25</v>
      </c>
      <c r="BL214" s="37" t="e">
        <f>AVERAGEIFS( E4:E1440, A4:A1440,"2022", C4:C1440,"Historia y Artes")</f>
        <v>#DIV/0!</v>
      </c>
      <c r="BM214" s="13">
        <f>AVERAGE(AT215:AT228)</f>
        <v>24.071428571428573</v>
      </c>
      <c r="BN214" s="13">
        <v>0</v>
      </c>
      <c r="BO214" s="13">
        <v>0</v>
      </c>
      <c r="BP214" s="13">
        <f>AVERAGE(AY215:AY228)</f>
        <v>6.6428571428571432</v>
      </c>
      <c r="BQ214" s="13">
        <f t="shared" ref="BQ214:BR214" si="0">AVERAGE(AZ215:AZ228)</f>
        <v>2.7857142857142856</v>
      </c>
      <c r="BR214" s="13">
        <f t="shared" si="0"/>
        <v>0</v>
      </c>
    </row>
    <row r="215" spans="1:70" ht="15" customHeight="1">
      <c r="A215" s="24">
        <v>2018</v>
      </c>
      <c r="B215" s="24" t="s">
        <v>136</v>
      </c>
      <c r="C215" s="24" t="s">
        <v>176</v>
      </c>
      <c r="D215" s="24" t="s">
        <v>181</v>
      </c>
      <c r="E215" s="23"/>
      <c r="F215" s="24" t="s">
        <v>207</v>
      </c>
      <c r="G215" s="24" t="s">
        <v>225</v>
      </c>
      <c r="H215" s="23" t="s">
        <v>225</v>
      </c>
      <c r="I215" s="24" t="s">
        <v>225</v>
      </c>
      <c r="J215" s="23" t="s">
        <v>226</v>
      </c>
      <c r="K215" s="24" t="s">
        <v>226</v>
      </c>
      <c r="L215" s="23"/>
      <c r="M215" s="25">
        <v>43591</v>
      </c>
      <c r="N215" s="24">
        <v>2019</v>
      </c>
      <c r="O215" s="73" t="s">
        <v>179</v>
      </c>
      <c r="P215" s="68"/>
      <c r="Q215" s="68"/>
      <c r="R215" s="68"/>
      <c r="S215" s="68"/>
      <c r="T215" s="69"/>
      <c r="U215" s="5">
        <f>COUNTIFS(   D4:D1440,"Al-Andalus y las sociedades feudales")</f>
        <v>9</v>
      </c>
      <c r="V215" s="5">
        <f>COUNTIFS(   D4:D1440,"Al-Andalus y las sociedades feudales",F4:F1440,"Hombre")</f>
        <v>5</v>
      </c>
      <c r="W215" s="5">
        <f>COUNTIFS(   D4:D1440,"Al-Andalus y las sociedades feudales",F4:F1440,"Mujer")</f>
        <v>4</v>
      </c>
      <c r="X215" s="19">
        <f>COUNTIFS(   A4:A1440,"2018", D4:D1440,"Al-Andalus y las sociedades feudales")</f>
        <v>0</v>
      </c>
      <c r="Y215" s="5">
        <f>COUNTIFS(   A4:A1440,"2019", D4:D1440,"Al-Andalus y las sociedades feudales")</f>
        <v>1</v>
      </c>
      <c r="Z215" s="5">
        <f>COUNTIFS(   A4:A1440,"2020", D4:D1440,"Al-Andalus y las sociedades feudales")</f>
        <v>4</v>
      </c>
      <c r="AA215" s="5">
        <f>COUNTIFS(   A4:A1440,"2021", D4:D1440,"Al-Andalus y las sociedades feudales")</f>
        <v>4</v>
      </c>
      <c r="AB215" s="5">
        <f>COUNTIFS(  A4:A1440,"2022", D4:D1440,"Al-Andalus y las sociedades feudales")</f>
        <v>0</v>
      </c>
      <c r="AC215" s="19">
        <f>COUNTIFS(   N4:N1440,"2018", D4:D1440,"Al-Andalus y las sociedades feudales")</f>
        <v>0</v>
      </c>
      <c r="AD215" s="5">
        <f>COUNTIFS(   N4:N1440,"2019", D4:D1440,"Al-Andalus y las sociedades feudales")</f>
        <v>0</v>
      </c>
      <c r="AE215" s="5">
        <f>COUNTIFS(   N4:N1440,"2020", D4:D1440,"Al-Andalus y las sociedades feudales")</f>
        <v>2</v>
      </c>
      <c r="AF215" s="5">
        <f>COUNTIFS(   N4:N1440,"2021", D4:D1440,"Al-Andalus y las sociedades feudales")</f>
        <v>6</v>
      </c>
      <c r="AG215" s="5">
        <f>COUNTIFS(   N4:N1440,"2022", D4:D1440,"Al-Andalus y las sociedades feudales")</f>
        <v>1</v>
      </c>
      <c r="AH215" s="5">
        <f>COUNTIFS(   D4:D1440,"Al-Andalus y las sociedades feudales",G4:G1440,"Sí")</f>
        <v>0</v>
      </c>
      <c r="AI215" s="5">
        <f>COUNTIFS(   D4:D1440,"Al-Andalus y las sociedades feudales",G4:G1440,"No")</f>
        <v>9</v>
      </c>
      <c r="AJ215" s="5">
        <f>SUMIFS( E4:E1440, D4:D1440,"Al-Andalus y las sociedades feudales",G4:G1440,"Sí")</f>
        <v>0</v>
      </c>
      <c r="AK215" s="5">
        <f>SUMIFS( E4:E1440, D4:D1440,"Al-Andalus y las sociedades feudales",G4:G1440,"No")</f>
        <v>11</v>
      </c>
      <c r="AL215" s="5">
        <f>COUNTIFS(   D4:D1440,"Al-Andalus y las sociedades feudales",H4:H1440,"Sí")</f>
        <v>7</v>
      </c>
      <c r="AM215" s="5">
        <f>COUNTIFS(   D4:D1440,"Al-Andalus y las sociedades feudales",I4:I1440,"Sí")</f>
        <v>3</v>
      </c>
      <c r="AN215" s="5">
        <f>COUNTIFS(   D4:D1440,"Al-Andalus y las sociedades feudales",I4:I1440,"No")</f>
        <v>6</v>
      </c>
      <c r="AO215" s="5">
        <f>SUMIFS( E4:E1440, D4:D1440,"Al-Andalus y las sociedades feudales",I4:I1440,"Sí")</f>
        <v>5</v>
      </c>
      <c r="AP215" s="5">
        <f>SUMIFS( E4:E1440, D4:D1440,"Al-Andalus y las sociedades feudales",I4:I1440,"No")</f>
        <v>6</v>
      </c>
      <c r="AQ215" s="5">
        <f>COUNTIFS(   D4:D1440,"Al-Andalus y las sociedades feudales",J4:J1440,"Sí")</f>
        <v>9</v>
      </c>
      <c r="AR215" s="5">
        <f>COUNTIFS(   D4:D1440,"Al-Andalus y las sociedades feudales",K4:K1440,"Sí")</f>
        <v>1</v>
      </c>
      <c r="AS215" s="5">
        <f>COUNTIFS(   D4:D1440,"Al-Andalus y las sociedades feudales",L4:L1440,"Sí")</f>
        <v>0</v>
      </c>
      <c r="AT215" s="5">
        <f>SUMIFS( E4:E1440, D4:D1440,"Al-Andalus y las sociedades feudales")</f>
        <v>11</v>
      </c>
      <c r="AU215" s="5">
        <f>SUMIFS( E4:E1440, F4:F1440,"Hombre", D4:D1440,"Al-Andalus y las sociedades feudales")</f>
        <v>6</v>
      </c>
      <c r="AV215" s="5">
        <f>SUMIFS( E4:E1440, F4:F1440,"Mujer", D4:D1440,"Al-Andalus y las sociedades feudales")</f>
        <v>5</v>
      </c>
      <c r="AW215" s="19">
        <f>SUMIFS( E4:E1440, A4:A1440,"2018", D4:D1440,"Al-Andalus y las sociedades feudales")</f>
        <v>0</v>
      </c>
      <c r="AX215" s="5">
        <f>SUMIFS( E4:E1440, A4:A1440,"2019", D4:D1440,"Al-Andalus y las sociedades feudales")</f>
        <v>2</v>
      </c>
      <c r="AY215" s="5">
        <f>SUMIFS( E4:E1440, A4:A1440,"2020", D4:D1440,"Al-Andalus y las sociedades feudales")</f>
        <v>4</v>
      </c>
      <c r="AZ215" s="5">
        <f>SUMIFS( E4:E1440, A4:A1440,"2021", D4:D1440,"Al-Andalus y las sociedades feudales")</f>
        <v>5</v>
      </c>
      <c r="BA215" s="5">
        <f>SUMIFS( E4:E1440, A4:A1440,"2022", D4:D1440,"Al-Andalus y las sociedades feudales")</f>
        <v>0</v>
      </c>
      <c r="BB215" s="19">
        <f>SUMIFS( E4:E1440, N4:N1440,"2018", D4:D1440,"Al-Andalus y las sociedades feudales")</f>
        <v>0</v>
      </c>
      <c r="BC215" s="5">
        <f>SUMIFS( E4:E1440, N4:N1440,"2019", D4:D1440,"Al-Andalus y las sociedades feudales")</f>
        <v>0</v>
      </c>
      <c r="BD215" s="5">
        <f>SUMIFS( E4:E1440, N4:N1440,"2020", D4:D1440,"Al-Andalus y las sociedades feudales")</f>
        <v>3</v>
      </c>
      <c r="BE215" s="5">
        <f>SUMIFS( E4:E1440, N4:N1440,"2021", D4:D1440,"Al-Andalus y las sociedades feudales")</f>
        <v>6</v>
      </c>
      <c r="BF215" s="5">
        <f>SUMIFS( E4:E1440, N4:N1440,"2022", D4:D1440,"Al-Andalus y las sociedades feudales")</f>
        <v>2</v>
      </c>
      <c r="BG215" s="14">
        <f>AVERAGEIFS( E4:E1440, D4:D1440,"Al-Andalus y las sociedades feudales")</f>
        <v>1.5714285714285714</v>
      </c>
      <c r="BH215" s="14">
        <v>0</v>
      </c>
      <c r="BI215" s="14">
        <v>0</v>
      </c>
      <c r="BJ215" s="14">
        <v>0</v>
      </c>
      <c r="BK215" s="14">
        <f>AVERAGEIFS( E4:E1440, A4:A1440,"2021", D4:D1440,"Al-Andalus y las sociedades feudales")</f>
        <v>1.6666666666666667</v>
      </c>
      <c r="BL215" s="37" t="e">
        <f>AVERAGEIFS( E4:E1440, A4:A1440,"2022", D4:D1440,"Al-Andalus y las sociedades feudales")</f>
        <v>#DIV/0!</v>
      </c>
      <c r="BM215" s="14">
        <v>0.33333333333333331</v>
      </c>
      <c r="BN215" s="14">
        <v>0</v>
      </c>
      <c r="BO215" s="14">
        <v>0</v>
      </c>
      <c r="BP215" s="14">
        <v>0</v>
      </c>
      <c r="BQ215" s="14">
        <v>1</v>
      </c>
      <c r="BR215" s="14">
        <v>0</v>
      </c>
    </row>
    <row r="216" spans="1:70" ht="15" customHeight="1">
      <c r="A216" s="24">
        <v>2018</v>
      </c>
      <c r="B216" s="24" t="s">
        <v>78</v>
      </c>
      <c r="C216" s="24" t="s">
        <v>79</v>
      </c>
      <c r="D216" s="24" t="s">
        <v>51</v>
      </c>
      <c r="E216" s="23">
        <v>8</v>
      </c>
      <c r="F216" s="24" t="s">
        <v>207</v>
      </c>
      <c r="G216" s="24" t="s">
        <v>225</v>
      </c>
      <c r="H216" s="23" t="s">
        <v>226</v>
      </c>
      <c r="I216" s="24" t="s">
        <v>225</v>
      </c>
      <c r="J216" s="23" t="s">
        <v>226</v>
      </c>
      <c r="K216" s="24" t="s">
        <v>226</v>
      </c>
      <c r="L216" s="23"/>
      <c r="M216" s="25">
        <v>43591</v>
      </c>
      <c r="N216" s="24">
        <v>2019</v>
      </c>
      <c r="O216" s="73" t="s">
        <v>181</v>
      </c>
      <c r="P216" s="68"/>
      <c r="Q216" s="68"/>
      <c r="R216" s="68"/>
      <c r="S216" s="68"/>
      <c r="T216" s="69"/>
      <c r="U216" s="5">
        <f>COUNTIFS(   D4:D1440,"Arqueología y cultura material")</f>
        <v>16</v>
      </c>
      <c r="V216" s="5">
        <f>COUNTIFS(   D4:D1440,"Arqueología y cultura material",F4:F1440,"Hombre")</f>
        <v>9</v>
      </c>
      <c r="W216" s="5">
        <f>COUNTIFS(   D4:D1440,"Arqueología y cultura material",F4:F1440,"Mujer")</f>
        <v>7</v>
      </c>
      <c r="X216" s="19">
        <f>COUNTIFS(   A4:A1440,"2018", D4:D1440,"Arqueología y cultura material")</f>
        <v>7</v>
      </c>
      <c r="Y216" s="5">
        <f>COUNTIFS(   A4:A1440,"2019", D4:D1440,"Arqueología y cultura material")</f>
        <v>4</v>
      </c>
      <c r="Z216" s="5">
        <f>COUNTIFS(   A4:A1440,"2020", D4:D1440,"Arqueología y cultura material")</f>
        <v>3</v>
      </c>
      <c r="AA216" s="5">
        <f>COUNTIFS(   A4:A1440,"2021", D4:D1440,"Arqueología y cultura material")</f>
        <v>2</v>
      </c>
      <c r="AB216" s="5">
        <f>COUNTIFS(  A4:A1440,"2022", D4:D1440,"Arqueología y cultura material")</f>
        <v>0</v>
      </c>
      <c r="AC216" s="19">
        <f>COUNTIFS(   N4:N1440,"2018", D4:D1440,"Arqueología y cultura material")</f>
        <v>3</v>
      </c>
      <c r="AD216" s="5">
        <f>COUNTIFS(   N4:N1440,"2019", D4:D1440,"Arqueología y cultura material")</f>
        <v>6</v>
      </c>
      <c r="AE216" s="5">
        <f>COUNTIFS(   N4:N1440,"2020", D4:D1440,"Arqueología y cultura material")</f>
        <v>2</v>
      </c>
      <c r="AF216" s="5">
        <f>COUNTIFS(   N4:N1440,"2021", D4:D1440,"Arqueología y cultura material")</f>
        <v>4</v>
      </c>
      <c r="AG216" s="5">
        <f>COUNTIFS(   N4:N1440,"2022", D4:D1440,"Arqueología y cultura material")</f>
        <v>1</v>
      </c>
      <c r="AH216" s="5">
        <f>COUNTIFS(   D4:D1440,"Arqueología y cultura material",G4:G1440,"Sí")</f>
        <v>1</v>
      </c>
      <c r="AI216" s="5">
        <f>COUNTIFS(   D4:D1440,"Arqueología y cultura material",G4:G1440,"No")</f>
        <v>15</v>
      </c>
      <c r="AJ216" s="5">
        <f>SUMIFS( E4:E1440, D4:D1440,"Arqueología y cultura material",G4:G1440,"Sí")</f>
        <v>7</v>
      </c>
      <c r="AK216" s="5">
        <f>SUMIFS( E4:E1440, D4:D1440,"Arqueología y cultura material",G4:G1440,"No")</f>
        <v>64</v>
      </c>
      <c r="AL216" s="5">
        <f>COUNTIFS(   D4:D1440,"Arqueología y cultura material",H4:H1440,"Sí")</f>
        <v>12</v>
      </c>
      <c r="AM216" s="5">
        <f>COUNTIFS(   D4:D1440,"Arqueología y cultura material",I4:I1440,"Sí")</f>
        <v>10</v>
      </c>
      <c r="AN216" s="5">
        <f>COUNTIFS(   D4:D1440,"Arqueología y cultura material",I4:I1440,"No")</f>
        <v>6</v>
      </c>
      <c r="AO216" s="5">
        <f>SUMIFS( E4:E1440, D4:D1440,"Arqueología y cultura material",I4:I1440,"Sí")</f>
        <v>67</v>
      </c>
      <c r="AP216" s="5">
        <f>SUMIFS( E4:E1440, D4:D1440,"Arqueología y cultura material",I4:I1440,"No")</f>
        <v>4</v>
      </c>
      <c r="AQ216" s="5">
        <f>COUNTIFS(   D4:D1440,"Arqueología y cultura material",J4:J1440,"Sí")</f>
        <v>16</v>
      </c>
      <c r="AR216" s="5">
        <f>COUNTIFS(   D4:D1440,"Arqueología y cultura material",K4:K1440,"Sí")</f>
        <v>8</v>
      </c>
      <c r="AS216" s="5">
        <f>COUNTIFS(   D4:D1440,"Arqueología y cultura material",L4:L1440,"Sí")</f>
        <v>0</v>
      </c>
      <c r="AT216" s="5">
        <f>SUMIFS( E4:E1440, D4:D1440,"Arqueología y cultura material")</f>
        <v>71</v>
      </c>
      <c r="AU216" s="5">
        <f>SUMIFS( E4:E1440, F4:F1440,"Hombre", D4:D1440,"Arqueología y cultura material")</f>
        <v>16</v>
      </c>
      <c r="AV216" s="5">
        <f>SUMIFS( E4:E1440, F4:F1440,"Mujer", D4:D1440,"Arqueología y cultura material")</f>
        <v>55</v>
      </c>
      <c r="AW216" s="19">
        <f>SUMIFS( E4:E1440, A4:A1440,"2018", D4:D1440,"Arqueología y cultura material")</f>
        <v>49</v>
      </c>
      <c r="AX216" s="5">
        <f>SUMIFS( E4:E1440, A4:A1440,"2019", D4:D1440,"Arqueología y cultura material")</f>
        <v>5</v>
      </c>
      <c r="AY216" s="5">
        <f>SUMIFS( E4:E1440, A4:A1440,"2020", D4:D1440,"Arqueología y cultura material")</f>
        <v>12</v>
      </c>
      <c r="AZ216" s="5">
        <f>SUMIFS( E4:E1440, A4:A1440,"2021", D4:D1440,"Arqueología y cultura material")</f>
        <v>5</v>
      </c>
      <c r="BA216" s="5">
        <f>SUMIFS( E4:E1440, A4:A1440,"2022", D4:D1440,"Arqueología y cultura material")</f>
        <v>0</v>
      </c>
      <c r="BB216" s="19">
        <f>SUMIFS( E4:E1440, N4:N1440,"2018", D4:D1440,"Arqueología y cultura material")</f>
        <v>47</v>
      </c>
      <c r="BC216" s="5">
        <f>SUMIFS( E4:E1440, N4:N1440,"2019", D4:D1440,"Arqueología y cultura material")</f>
        <v>6</v>
      </c>
      <c r="BD216" s="5">
        <f>SUMIFS( E4:E1440, N4:N1440,"2020", D4:D1440,"Arqueología y cultura material")</f>
        <v>1</v>
      </c>
      <c r="BE216" s="5">
        <f>SUMIFS( E4:E1440, N4:N1440,"2021", D4:D1440,"Arqueología y cultura material")</f>
        <v>15</v>
      </c>
      <c r="BF216" s="5">
        <f>SUMIFS( E4:E1440, N4:N1440,"2022", D4:D1440,"Arqueología y cultura material")</f>
        <v>2</v>
      </c>
      <c r="BG216" s="14">
        <f>AVERAGEIFS( E4:E1440, D4:D1440,"Arqueología y cultura material")</f>
        <v>5.4615384615384617</v>
      </c>
      <c r="BH216" s="14">
        <v>0</v>
      </c>
      <c r="BI216" s="14">
        <v>0</v>
      </c>
      <c r="BJ216" s="14">
        <v>0</v>
      </c>
      <c r="BK216" s="14">
        <f>AVERAGEIFS( E4:E1440, A4:A1440,"2021", D4:D1440,"Arqueología y cultura material")</f>
        <v>2.5</v>
      </c>
      <c r="BL216" s="37" t="e">
        <f>AVERAGEIFS( E4:E1440, A4:A1440,"2022", D4:D1440,"Arqueología y cultura material")</f>
        <v>#DIV/0!</v>
      </c>
      <c r="BM216" s="14">
        <v>8.1666666666666661</v>
      </c>
      <c r="BN216" s="14">
        <v>0</v>
      </c>
      <c r="BO216" s="14">
        <v>0</v>
      </c>
      <c r="BP216" s="14">
        <v>0</v>
      </c>
      <c r="BQ216" s="14">
        <v>20</v>
      </c>
      <c r="BR216" s="14">
        <v>2.25</v>
      </c>
    </row>
    <row r="217" spans="1:70" ht="15" customHeight="1">
      <c r="A217" s="24">
        <v>2018</v>
      </c>
      <c r="B217" s="24" t="s">
        <v>78</v>
      </c>
      <c r="C217" s="24" t="s">
        <v>79</v>
      </c>
      <c r="D217" s="24" t="s">
        <v>327</v>
      </c>
      <c r="E217" s="23">
        <v>8</v>
      </c>
      <c r="F217" s="24" t="s">
        <v>207</v>
      </c>
      <c r="G217" s="24" t="s">
        <v>225</v>
      </c>
      <c r="H217" s="23" t="s">
        <v>226</v>
      </c>
      <c r="I217" s="24" t="s">
        <v>226</v>
      </c>
      <c r="J217" s="23" t="s">
        <v>226</v>
      </c>
      <c r="K217" s="24" t="s">
        <v>226</v>
      </c>
      <c r="L217" s="23"/>
      <c r="M217" s="25">
        <v>43592</v>
      </c>
      <c r="N217" s="24">
        <v>2019</v>
      </c>
      <c r="O217" s="73" t="s">
        <v>186</v>
      </c>
      <c r="P217" s="68"/>
      <c r="Q217" s="68"/>
      <c r="R217" s="68"/>
      <c r="S217" s="68"/>
      <c r="T217" s="69"/>
      <c r="U217" s="5">
        <f>COUNTIFS(   D4:D1440,"Cambios sociopolíticos en el mundo moderno y contemporáneo")</f>
        <v>12</v>
      </c>
      <c r="V217" s="5">
        <f>COUNTIFS(   D4:D1440,"Cambios sociopolíticos en el mundo moderno y contemporáneo",F4:F1440,"Hombre")</f>
        <v>8</v>
      </c>
      <c r="W217" s="5">
        <f>COUNTIFS(   D4:D1440,"Cambios sociopolíticos en el mundo moderno y contemporáneo",F4:F1440,"Mujer")</f>
        <v>4</v>
      </c>
      <c r="X217" s="19">
        <f>COUNTIFS(   A4:A1440,"2018", D4:D1440,"Cambios sociopolíticos en el mundo moderno y contemporáneo")</f>
        <v>3</v>
      </c>
      <c r="Y217" s="5">
        <f>COUNTIFS(   A4:A1440,"2019", D4:D1440,"Cambios sociopolíticos en el mundo moderno y contemporáneo")</f>
        <v>4</v>
      </c>
      <c r="Z217" s="5">
        <f>COUNTIFS(   A4:A1440,"2020", D4:D1440,"Cambios sociopolíticos en el mundo moderno y contemporáneo")</f>
        <v>3</v>
      </c>
      <c r="AA217" s="5">
        <f>COUNTIFS(   A4:A1440,"2021", D4:D1440,"Cambios sociopolíticos en el mundo moderno y contemporáneo")</f>
        <v>2</v>
      </c>
      <c r="AB217" s="5">
        <f>COUNTIFS(  A4:A1440,"2022", D4:D1440,"Cambios sociopolíticos en el mundo moderno y contemporáneo")</f>
        <v>0</v>
      </c>
      <c r="AC217" s="19">
        <f>COUNTIFS(   N4:N1440,"2018", D4:D1440,"Cambios sociopolíticos en el mundo moderno y contemporáneo")</f>
        <v>2</v>
      </c>
      <c r="AD217" s="5">
        <f>COUNTIFS(   N4:N1440,"2019", D4:D1440,"Cambios sociopolíticos en el mundo moderno y contemporáneo")</f>
        <v>2</v>
      </c>
      <c r="AE217" s="5">
        <f>COUNTIFS(   N4:N1440,"2020", D4:D1440,"Cambios sociopolíticos en el mundo moderno y contemporáneo")</f>
        <v>3</v>
      </c>
      <c r="AF217" s="5">
        <f>COUNTIFS(   N4:N1440,"2021", D4:D1440,"Cambios sociopolíticos en el mundo moderno y contemporáneo")</f>
        <v>4</v>
      </c>
      <c r="AG217" s="5">
        <f>COUNTIFS(   N4:N1440,"2022", D4:D1440,"Cambios sociopolíticos en el mundo moderno y contemporáneo")</f>
        <v>1</v>
      </c>
      <c r="AH217" s="5">
        <f>COUNTIFS(   D4:D1440,"Cambios sociopolíticos en el mundo moderno y contemporáneo",G4:G1440,"Sí")</f>
        <v>0</v>
      </c>
      <c r="AI217" s="5">
        <f>COUNTIFS(   D4:D1440,"Cambios sociopolíticos en el mundo moderno y contemporáneo",G4:G1440,"No")</f>
        <v>12</v>
      </c>
      <c r="AJ217" s="5">
        <f>SUMIFS( E4:E1440, D4:D1440,"Cambios sociopolíticos en el mundo moderno y contemporáneo",G4:G1440,"Sí")</f>
        <v>0</v>
      </c>
      <c r="AK217" s="5">
        <f>SUMIFS( E4:E1440, D4:D1440,"Cambios sociopolíticos en el mundo moderno y contemporáneo",G4:G1440,"No")</f>
        <v>32</v>
      </c>
      <c r="AL217" s="5">
        <f>COUNTIFS(   D4:D1440,"Cambios sociopolíticos en el mundo moderno y contemporáneo",H4:H1440,"Sí")</f>
        <v>7</v>
      </c>
      <c r="AM217" s="5">
        <f>COUNTIFS(   D4:D1440,"Cambios sociopolíticos en el mundo moderno y contemporáneo",I4:I1440,"Sí")</f>
        <v>3</v>
      </c>
      <c r="AN217" s="5">
        <f>COUNTIFS(   D4:D1440,"Cambios sociopolíticos en el mundo moderno y contemporáneo",I4:I1440,"No")</f>
        <v>9</v>
      </c>
      <c r="AO217" s="5">
        <f>SUMIFS( E4:E1440, D4:D1440,"Cambios sociopolíticos en el mundo moderno y contemporáneo",I4:I1440,"Sí")</f>
        <v>24</v>
      </c>
      <c r="AP217" s="5">
        <f>SUMIFS( E4:E1440, D4:D1440,"Cambios sociopolíticos en el mundo moderno y contemporáneo",I4:I1440,"No")</f>
        <v>8</v>
      </c>
      <c r="AQ217" s="5">
        <f>COUNTIFS(   D4:D1440,"Cambios sociopolíticos en el mundo moderno y contemporáneo",J4:J1440,"Sí")</f>
        <v>12</v>
      </c>
      <c r="AR217" s="5">
        <f>COUNTIFS(   D4:D1440,"Cambios sociopolíticos en el mundo moderno y contemporáneo",K4:K1440,"Sí")</f>
        <v>5</v>
      </c>
      <c r="AS217" s="5">
        <f>COUNTIFS(   D4:D1440,"Cambios sociopolíticos en el mundo moderno y contemporáneo",L4:L1440,"Sí")</f>
        <v>0</v>
      </c>
      <c r="AT217" s="5">
        <f>SUMIFS( E4:E1440, D4:D1440,"Cambios sociopolíticos en el mundo moderno y contemporáneo")</f>
        <v>32</v>
      </c>
      <c r="AU217" s="5">
        <f>SUMIFS( E4:E1440, F4:F1440,"Hombre", D4:D1440,"Cambios sociopolíticos en el mundo moderno y contemporáneo")</f>
        <v>12</v>
      </c>
      <c r="AV217" s="5">
        <f>SUMIFS( E4:E1440, F4:F1440,"Mujer", D4:D1440,"Cambios sociopolíticos en el mundo moderno y contemporáneo")</f>
        <v>20</v>
      </c>
      <c r="AW217" s="19">
        <f>SUMIFS( E4:E1440, A4:A1440,"2018", D4:D1440,"Cambios sociopolíticos en el mundo moderno y contemporáneo")</f>
        <v>17</v>
      </c>
      <c r="AX217" s="5">
        <f>SUMIFS( E4:E1440, A4:A1440,"2019", D4:D1440,"Cambios sociopolíticos en el mundo moderno y contemporáneo")</f>
        <v>4</v>
      </c>
      <c r="AY217" s="5">
        <f>SUMIFS( E4:E1440, A4:A1440,"2020", D4:D1440,"Cambios sociopolíticos en el mundo moderno y contemporáneo")</f>
        <v>10</v>
      </c>
      <c r="AZ217" s="5">
        <f>SUMIFS( E4:E1440, A4:A1440,"2021", D4:D1440,"Cambios sociopolíticos en el mundo moderno y contemporáneo")</f>
        <v>1</v>
      </c>
      <c r="BA217" s="5">
        <f>SUMIFS( E4:E1440, A4:A1440,"2022", D4:D1440,"Cambios sociopolíticos en el mundo moderno y contemporáneo")</f>
        <v>0</v>
      </c>
      <c r="BB217" s="19">
        <f>SUMIFS( E4:E1440, N4:N1440,"2018", D4:D1440,"Cambios sociopolíticos en el mundo moderno y contemporáneo")</f>
        <v>17</v>
      </c>
      <c r="BC217" s="5">
        <f>SUMIFS( E4:E1440, N4:N1440,"2019", D4:D1440,"Cambios sociopolíticos en el mundo moderno y contemporáneo")</f>
        <v>1</v>
      </c>
      <c r="BD217" s="5">
        <f>SUMIFS( E4:E1440, N4:N1440,"2020", D4:D1440,"Cambios sociopolíticos en el mundo moderno y contemporáneo")</f>
        <v>3</v>
      </c>
      <c r="BE217" s="5">
        <f>SUMIFS( E4:E1440, N4:N1440,"2021", D4:D1440,"Cambios sociopolíticos en el mundo moderno y contemporáneo")</f>
        <v>10</v>
      </c>
      <c r="BF217" s="5">
        <f>SUMIFS( E4:E1440, N4:N1440,"2022", D4:D1440,"Cambios sociopolíticos en el mundo moderno y contemporáneo")</f>
        <v>1</v>
      </c>
      <c r="BG217" s="14">
        <f>AVERAGEIFS( E4:E1440, D4:D1440,"Cambios sociopolíticos en el mundo moderno y contemporáneo")</f>
        <v>3.5555555555555554</v>
      </c>
      <c r="BH217" s="14">
        <v>0</v>
      </c>
      <c r="BI217" s="14">
        <v>0</v>
      </c>
      <c r="BJ217" s="14">
        <f>AVERAGEIFS( E4:E1440, A4:A1440,"2020", D4:D1440,"Cambios sociopolíticos en el mundo moderno y contemporáneo")</f>
        <v>3.3333333333333335</v>
      </c>
      <c r="BK217" s="14">
        <f>AVERAGEIFS( E4:E1440, A4:A1440,"2021", D4:D1440,"Cambios sociopolíticos en el mundo moderno y contemporáneo")</f>
        <v>1</v>
      </c>
      <c r="BL217" s="37" t="e">
        <f>AVERAGEIFS( E4:E1440, A4:A1440,"2022", D4:D1440,"Cambios sociopolíticos en el mundo moderno y contemporáneo")</f>
        <v>#DIV/0!</v>
      </c>
      <c r="BM217" s="14">
        <v>8.1999999999999993</v>
      </c>
      <c r="BN217" s="14">
        <v>0</v>
      </c>
      <c r="BO217" s="14">
        <v>0</v>
      </c>
      <c r="BP217" s="14">
        <v>16</v>
      </c>
      <c r="BQ217" s="14">
        <v>1.5</v>
      </c>
      <c r="BR217" s="14">
        <v>6</v>
      </c>
    </row>
    <row r="218" spans="1:70" ht="15" customHeight="1">
      <c r="A218" s="24">
        <v>2018</v>
      </c>
      <c r="B218" s="24" t="s">
        <v>136</v>
      </c>
      <c r="C218" s="24" t="s">
        <v>176</v>
      </c>
      <c r="D218" s="24" t="s">
        <v>182</v>
      </c>
      <c r="E218" s="23"/>
      <c r="F218" s="24" t="s">
        <v>207</v>
      </c>
      <c r="G218" s="24" t="s">
        <v>225</v>
      </c>
      <c r="H218" s="23" t="s">
        <v>225</v>
      </c>
      <c r="I218" s="24" t="s">
        <v>225</v>
      </c>
      <c r="J218" s="23" t="s">
        <v>226</v>
      </c>
      <c r="K218" s="24" t="s">
        <v>226</v>
      </c>
      <c r="L218" s="23"/>
      <c r="M218" s="25">
        <v>43592</v>
      </c>
      <c r="N218" s="24">
        <v>2019</v>
      </c>
      <c r="O218" s="73" t="s">
        <v>180</v>
      </c>
      <c r="P218" s="68"/>
      <c r="Q218" s="68"/>
      <c r="R218" s="68"/>
      <c r="S218" s="68"/>
      <c r="T218" s="69"/>
      <c r="U218" s="5">
        <f>COUNTIFS(   D4:D1440,"Conocimiento y Tutela del Patrimonio Histórico")</f>
        <v>7</v>
      </c>
      <c r="V218" s="5">
        <f>COUNTIFS(   D4:D1440,"Conocimiento y Tutela del Patrimonio Histórico",F4:F1440,"Hombre")</f>
        <v>4</v>
      </c>
      <c r="W218" s="5">
        <f>COUNTIFS(   D4:D1440,"Conocimiento y Tutela del Patrimonio Histórico",F4:F1440,"Mujer")</f>
        <v>3</v>
      </c>
      <c r="X218" s="19">
        <f>COUNTIFS(   A4:A1440,"2018", D4:D1440,"Conocimiento y Tutela del Patrimonio Histórico")</f>
        <v>3</v>
      </c>
      <c r="Y218" s="5">
        <f>COUNTIFS(   A4:A1440,"2019", D4:D1440,"Conocimiento y Tutela del Patrimonio Histórico")</f>
        <v>0</v>
      </c>
      <c r="Z218" s="5">
        <f>COUNTIFS(   A4:A1440,"2020", D4:D1440,"Conocimiento y Tutela del Patrimonio Histórico")</f>
        <v>1</v>
      </c>
      <c r="AA218" s="5">
        <f>COUNTIFS(   A4:A1440,"2021", D4:D1440,"Conocimiento y Tutela del Patrimonio Histórico")</f>
        <v>3</v>
      </c>
      <c r="AB218" s="5">
        <f>COUNTIFS(  A4:A1440,"2022", D4:D1440,"Conocimiento y Tutela del Patrimonio Histórico")</f>
        <v>0</v>
      </c>
      <c r="AC218" s="19">
        <f>COUNTIFS(   N4:N1440,"2018", D4:D1440,"Conocimiento y Tutela del Patrimonio Histórico")</f>
        <v>2</v>
      </c>
      <c r="AD218" s="5">
        <f>COUNTIFS(   N4:N1440,"2019", D4:D1440,"Conocimiento y Tutela del Patrimonio Histórico")</f>
        <v>1</v>
      </c>
      <c r="AE218" s="5">
        <f>COUNTIFS(   N4:N1440,"2020", D4:D1440,"Conocimiento y Tutela del Patrimonio Histórico")</f>
        <v>0</v>
      </c>
      <c r="AF218" s="5">
        <f>COUNTIFS(   N4:N1440,"2021", D4:D1440,"Conocimiento y Tutela del Patrimonio Histórico")</f>
        <v>1</v>
      </c>
      <c r="AG218" s="5">
        <f>COUNTIFS(   N4:N1440,"2022", D4:D1440,"Conocimiento y Tutela del Patrimonio Histórico")</f>
        <v>3</v>
      </c>
      <c r="AH218" s="5">
        <f>COUNTIFS(   D4:D1440,"Conocimiento y Tutela del Patrimonio Histórico",G4:G1440,"Sí")</f>
        <v>0</v>
      </c>
      <c r="AI218" s="5">
        <f>COUNTIFS(   D4:D1440,"Conocimiento y Tutela del Patrimonio Histórico",G4:G1440,"No")</f>
        <v>7</v>
      </c>
      <c r="AJ218" s="5">
        <f>SUMIFS( E4:E1440, D4:D1440,"Conocimiento y Tutela del Patrimonio Histórico",G4:G1440,"Sí")</f>
        <v>0</v>
      </c>
      <c r="AK218" s="5">
        <f>SUMIFS( E4:E1440, D4:D1440,"Conocimiento y Tutela del Patrimonio Histórico",G4:G1440,"No")</f>
        <v>18</v>
      </c>
      <c r="AL218" s="5">
        <f>COUNTIFS(   D4:D1440,"Conocimiento y Tutela del Patrimonio Histórico",H4:H1440,"Sí")</f>
        <v>7</v>
      </c>
      <c r="AM218" s="5">
        <f>COUNTIFS(   D4:D1440,"Conocimiento y Tutela del Patrimonio Histórico",I4:I1440,"Sí")</f>
        <v>3</v>
      </c>
      <c r="AN218" s="5">
        <f>COUNTIFS(   D4:D1440,"Conocimiento y Tutela del Patrimonio Histórico",I4:I1440,"No")</f>
        <v>4</v>
      </c>
      <c r="AO218" s="5">
        <f>SUMIFS( E4:E1440, D4:D1440,"Conocimiento y Tutela del Patrimonio Histórico",I4:I1440,"Sí")</f>
        <v>10</v>
      </c>
      <c r="AP218" s="5">
        <f>SUMIFS( E4:E1440, D4:D1440,"Conocimiento y Tutela del Patrimonio Histórico",I4:I1440,"No")</f>
        <v>8</v>
      </c>
      <c r="AQ218" s="5">
        <f>COUNTIFS(   D4:D1440,"Conocimiento y Tutela del Patrimonio Histórico",J4:J1440,"Sí")</f>
        <v>7</v>
      </c>
      <c r="AR218" s="5">
        <f>COUNTIFS(   D4:D1440,"Conocimiento y Tutela del Patrimonio Histórico",K4:K1440,"Sí")</f>
        <v>3</v>
      </c>
      <c r="AS218" s="5">
        <f>COUNTIFS(   D4:D1440,"Conocimiento y Tutela del Patrimonio Histórico",L4:L1440,"Sí")</f>
        <v>0</v>
      </c>
      <c r="AT218" s="5">
        <f>SUMIFS( E4:E1440, D4:D1440,"Conocimiento y Tutela del Patrimonio Histórico")</f>
        <v>18</v>
      </c>
      <c r="AU218" s="5">
        <f>SUMIFS( E4:E1440, F4:F1440,"Hombre", D4:D1440,"Conocimiento y Tutela del Patrimonio Histórico")</f>
        <v>10</v>
      </c>
      <c r="AV218" s="5">
        <f>SUMIFS( E4:E1440, F4:F1440,"Mujer", D4:D1440,"Conocimiento y Tutela del Patrimonio Histórico")</f>
        <v>8</v>
      </c>
      <c r="AW218" s="19">
        <f>SUMIFS( E4:E1440, A4:A1440,"2018", D4:D1440,"Conocimiento y Tutela del Patrimonio Histórico")</f>
        <v>8</v>
      </c>
      <c r="AX218" s="5">
        <f>SUMIFS( E4:E1440, A4:A1440,"2019", D4:D1440,"Conocimiento y Tutela del Patrimonio Histórico")</f>
        <v>0</v>
      </c>
      <c r="AY218" s="5">
        <f>SUMIFS( E4:E1440, A4:A1440,"2020", D4:D1440,"Conocimiento y Tutela del Patrimonio Histórico")</f>
        <v>2</v>
      </c>
      <c r="AZ218" s="5">
        <f>SUMIFS( E4:E1440, A4:A1440,"2021", D4:D1440,"Conocimiento y Tutela del Patrimonio Histórico")</f>
        <v>8</v>
      </c>
      <c r="BA218" s="5">
        <f>SUMIFS( E4:E1440, A4:A1440,"2022", D4:D1440,"Conocimiento y Tutela del Patrimonio Histórico")</f>
        <v>0</v>
      </c>
      <c r="BB218" s="19">
        <f>SUMIFS( E4:E1440, N4:N1440,"2018", D4:D1440,"Conocimiento y Tutela del Patrimonio Histórico")</f>
        <v>7</v>
      </c>
      <c r="BC218" s="5">
        <f>SUMIFS( E4:E1440, N4:N1440,"2019", D4:D1440,"Conocimiento y Tutela del Patrimonio Histórico")</f>
        <v>1</v>
      </c>
      <c r="BD218" s="5">
        <f>SUMIFS( E4:E1440, N4:N1440,"2020", D4:D1440,"Conocimiento y Tutela del Patrimonio Histórico")</f>
        <v>0</v>
      </c>
      <c r="BE218" s="5">
        <f>SUMIFS( E4:E1440, N4:N1440,"2021", D4:D1440,"Conocimiento y Tutela del Patrimonio Histórico")</f>
        <v>2</v>
      </c>
      <c r="BF218" s="5">
        <f>SUMIFS( E4:E1440, N4:N1440,"2022", D4:D1440,"Conocimiento y Tutela del Patrimonio Histórico")</f>
        <v>8</v>
      </c>
      <c r="BG218" s="14">
        <f>AVERAGEIFS( E4:E1440, D4:D1440,"Conocimiento y Tutela del Patrimonio Histórico")</f>
        <v>2.5714285714285716</v>
      </c>
      <c r="BH218" s="14">
        <v>0</v>
      </c>
      <c r="BI218" s="14">
        <v>0</v>
      </c>
      <c r="BJ218" s="14">
        <v>0</v>
      </c>
      <c r="BK218" s="14">
        <f>AVERAGEIFS( E4:E1440, A4:A1440,"2021", D4:D1440,"Conocimiento y Tutela del Patrimonio Histórico")</f>
        <v>2.6666666666666665</v>
      </c>
      <c r="BL218" s="37" t="e">
        <f>AVERAGEIFS( E4:E1440, A4:A1440,"2022", D4:D1440,"Conocimiento y Tutela del Patrimonio Histórico")</f>
        <v>#DIV/0!</v>
      </c>
      <c r="BM218" s="14">
        <v>11.666666666666666</v>
      </c>
      <c r="BN218" s="14">
        <v>0</v>
      </c>
      <c r="BO218" s="14">
        <v>0</v>
      </c>
      <c r="BP218" s="14">
        <v>0</v>
      </c>
      <c r="BQ218" s="14">
        <v>6.5</v>
      </c>
      <c r="BR218" s="14">
        <v>22</v>
      </c>
    </row>
    <row r="219" spans="1:70" ht="15" customHeight="1">
      <c r="A219" s="24">
        <v>2018</v>
      </c>
      <c r="B219" s="24" t="s">
        <v>78</v>
      </c>
      <c r="C219" s="24" t="s">
        <v>80</v>
      </c>
      <c r="D219" s="24" t="s">
        <v>84</v>
      </c>
      <c r="E219" s="23">
        <v>10</v>
      </c>
      <c r="F219" s="24" t="s">
        <v>207</v>
      </c>
      <c r="G219" s="24" t="s">
        <v>225</v>
      </c>
      <c r="H219" s="23" t="s">
        <v>226</v>
      </c>
      <c r="I219" s="24" t="s">
        <v>225</v>
      </c>
      <c r="J219" s="23" t="s">
        <v>226</v>
      </c>
      <c r="K219" s="24" t="s">
        <v>226</v>
      </c>
      <c r="L219" s="23"/>
      <c r="M219" s="25">
        <v>43592</v>
      </c>
      <c r="N219" s="24">
        <v>2019</v>
      </c>
      <c r="O219" s="73" t="s">
        <v>177</v>
      </c>
      <c r="P219" s="68"/>
      <c r="Q219" s="68"/>
      <c r="R219" s="68"/>
      <c r="S219" s="68"/>
      <c r="T219" s="69"/>
      <c r="U219" s="5">
        <f>COUNTIFS(   D4:D1440,"Creación Artística, Audiovisual y Reflexión Crítica")</f>
        <v>44</v>
      </c>
      <c r="V219" s="5">
        <f>COUNTIFS(   D4:D1440,"Creación Artística, Audiovisual y Reflexión Crítica",F4:F1440,"Hombre")</f>
        <v>20</v>
      </c>
      <c r="W219" s="5">
        <f>COUNTIFS(   D4:D1440,"Creación Artística, Audiovisual y Reflexión Crítica",F4:F1440,"Mujer")</f>
        <v>24</v>
      </c>
      <c r="X219" s="19">
        <f>COUNTIFS(   A4:A1440,"2018", D4:D1440,"Creación Artística, Audiovisual y Reflexión Crítica")</f>
        <v>9</v>
      </c>
      <c r="Y219" s="5">
        <f>COUNTIFS(   A4:A1440,"2019", D4:D1440,"Creación Artística, Audiovisual y Reflexión Crítica")</f>
        <v>8</v>
      </c>
      <c r="Z219" s="5">
        <f>COUNTIFS(   A4:A1440,"2020", D4:D1440,"Creación Artística, Audiovisual y Reflexión Crítica")</f>
        <v>19</v>
      </c>
      <c r="AA219" s="5">
        <f>COUNTIFS(   A4:A1440,"2021", D4:D1440,"Creación Artística, Audiovisual y Reflexión Crítica")</f>
        <v>8</v>
      </c>
      <c r="AB219" s="5">
        <f>COUNTIFS(  A4:A1440,"2022", D4:D1440,"Creación Artística, Audiovisual y Reflexión Crítica")</f>
        <v>0</v>
      </c>
      <c r="AC219" s="19">
        <f>COUNTIFS(   N4:N1440,"2018", D4:D1440,"Creación Artística, Audiovisual y Reflexión Crítica")</f>
        <v>1</v>
      </c>
      <c r="AD219" s="5">
        <f>COUNTIFS(   N4:N1440,"2019", D4:D1440,"Creación Artística, Audiovisual y Reflexión Crítica")</f>
        <v>12</v>
      </c>
      <c r="AE219" s="5">
        <f>COUNTIFS(   N4:N1440,"2020", D4:D1440,"Creación Artística, Audiovisual y Reflexión Crítica")</f>
        <v>7</v>
      </c>
      <c r="AF219" s="5">
        <f>COUNTIFS(   N4:N1440,"2021", D4:D1440,"Creación Artística, Audiovisual y Reflexión Crítica")</f>
        <v>18</v>
      </c>
      <c r="AG219" s="5">
        <f>COUNTIFS(   N4:N1440,"2022", D4:D1440,"Creación Artística, Audiovisual y Reflexión Crítica")</f>
        <v>6</v>
      </c>
      <c r="AH219" s="5">
        <f>COUNTIFS(   D4:D1440,"Creación Artística, Audiovisual y Reflexión Crítica",G4:G1440,"Sí")</f>
        <v>4</v>
      </c>
      <c r="AI219" s="5">
        <f>COUNTIFS(   D4:D1440,"Creación Artística, Audiovisual y Reflexión Crítica",G4:G1440,"No")</f>
        <v>40</v>
      </c>
      <c r="AJ219" s="5">
        <f>SUMIFS( E4:E1440, D4:D1440,"Creación Artística, Audiovisual y Reflexión Crítica",G4:G1440,"Sí")</f>
        <v>3</v>
      </c>
      <c r="AK219" s="5">
        <f>SUMIFS( E4:E1440, D4:D1440,"Creación Artística, Audiovisual y Reflexión Crítica",G4:G1440,"No")</f>
        <v>41</v>
      </c>
      <c r="AL219" s="5">
        <f>COUNTIFS(   D4:D1440,"Creación Artística, Audiovisual y Reflexión Crítica",H4:H1440,"Sí")</f>
        <v>14</v>
      </c>
      <c r="AM219" s="5">
        <f>COUNTIFS(   D4:D1440,"Creación Artística, Audiovisual y Reflexión Crítica",I4:I1440,"Sí")</f>
        <v>12</v>
      </c>
      <c r="AN219" s="5">
        <f>COUNTIFS(   D4:D1440,"Creación Artística, Audiovisual y Reflexión Crítica",I4:I1440,"No")</f>
        <v>32</v>
      </c>
      <c r="AO219" s="5">
        <f>SUMIFS( E4:E1440, D4:D1440,"Creación Artística, Audiovisual y Reflexión Crítica",I4:I1440,"Sí")</f>
        <v>18</v>
      </c>
      <c r="AP219" s="5">
        <f>SUMIFS( E4:E1440, D4:D1440,"Creación Artística, Audiovisual y Reflexión Crítica",I4:I1440,"No")</f>
        <v>26</v>
      </c>
      <c r="AQ219" s="5">
        <f>COUNTIFS(   D4:D1440,"Creación Artística, Audiovisual y Reflexión Crítica",J4:J1440,"Sí")</f>
        <v>44</v>
      </c>
      <c r="AR219" s="5">
        <f>COUNTIFS(   D4:D1440,"Creación Artística, Audiovisual y Reflexión Crítica",K4:K1440,"Sí")</f>
        <v>14</v>
      </c>
      <c r="AS219" s="5">
        <f>COUNTIFS(   D4:D1440,"Creación Artística, Audiovisual y Reflexión Crítica",L4:L1440,"Sí")</f>
        <v>0</v>
      </c>
      <c r="AT219" s="5">
        <f>SUMIFS( E4:E1440, D4:D1440,"Creación Artística, Audiovisual y Reflexión Crítica")</f>
        <v>44</v>
      </c>
      <c r="AU219" s="5">
        <f>SUMIFS( E4:E1440, F4:F1440,"Hombre", D4:D1440,"Creación Artística, Audiovisual y Reflexión Crítica")</f>
        <v>25</v>
      </c>
      <c r="AV219" s="5">
        <f>SUMIFS( E4:E1440, F4:F1440,"Mujer", D4:D1440,"Creación Artística, Audiovisual y Reflexión Crítica")</f>
        <v>19</v>
      </c>
      <c r="AW219" s="19">
        <f>SUMIFS( E4:E1440, A4:A1440,"2018", D4:D1440,"Creación Artística, Audiovisual y Reflexión Crítica")</f>
        <v>16</v>
      </c>
      <c r="AX219" s="5">
        <f>SUMIFS( E4:E1440, A4:A1440,"2019", D4:D1440,"Creación Artística, Audiovisual y Reflexión Crítica")</f>
        <v>12</v>
      </c>
      <c r="AY219" s="5">
        <f>SUMIFS( E4:E1440, A4:A1440,"2020", D4:D1440,"Creación Artística, Audiovisual y Reflexión Crítica")</f>
        <v>16</v>
      </c>
      <c r="AZ219" s="5">
        <f>SUMIFS( E4:E1440, A4:A1440,"2021", D4:D1440,"Creación Artística, Audiovisual y Reflexión Crítica")</f>
        <v>0</v>
      </c>
      <c r="BA219" s="5">
        <f>SUMIFS( E4:E1440, A4:A1440,"2022", D4:D1440,"Creación Artística, Audiovisual y Reflexión Crítica")</f>
        <v>0</v>
      </c>
      <c r="BB219" s="19">
        <f>SUMIFS( E4:E1440, N4:N1440,"2018", D4:D1440,"Creación Artística, Audiovisual y Reflexión Crítica")</f>
        <v>4</v>
      </c>
      <c r="BC219" s="5">
        <f>SUMIFS( E4:E1440, N4:N1440,"2019", D4:D1440,"Creación Artística, Audiovisual y Reflexión Crítica")</f>
        <v>19</v>
      </c>
      <c r="BD219" s="5">
        <f>SUMIFS( E4:E1440, N4:N1440,"2020", D4:D1440,"Creación Artística, Audiovisual y Reflexión Crítica")</f>
        <v>12</v>
      </c>
      <c r="BE219" s="5">
        <f>SUMIFS( E4:E1440, N4:N1440,"2021", D4:D1440,"Creación Artística, Audiovisual y Reflexión Crítica")</f>
        <v>9</v>
      </c>
      <c r="BF219" s="5">
        <f>SUMIFS( E4:E1440, N4:N1440,"2022", D4:D1440,"Creación Artística, Audiovisual y Reflexión Crítica")</f>
        <v>0</v>
      </c>
      <c r="BG219" s="14">
        <f>AVERAGEIFS( E4:E1440, D4:D1440,"Creación Artística, Audiovisual y Reflexión Crítica")</f>
        <v>2.5882352941176472</v>
      </c>
      <c r="BH219" s="14">
        <v>0</v>
      </c>
      <c r="BI219" s="14">
        <v>0</v>
      </c>
      <c r="BJ219" s="14">
        <f>AVERAGEIFS( E4:E1440, A4:A1440,"2020", D4:D1440,"Creación Artística, Audiovisual y Reflexión Crítica")</f>
        <v>2.2857142857142856</v>
      </c>
      <c r="BK219" s="14" t="e">
        <f>AVERAGEIFS( E4:E1440, A4:A1440,"2021", D4:D1440,"Creación Artística, Audiovisual y Reflexión Crítica")</f>
        <v>#DIV/0!</v>
      </c>
      <c r="BL219" s="37" t="e">
        <f>AVERAGEIFS( E4:E1440, A4:A1440,"2022", D4:D1440,"Creación Artística, Audiovisual y Reflexión Crítica")</f>
        <v>#DIV/0!</v>
      </c>
      <c r="BM219" s="14">
        <v>1.1428571428571428</v>
      </c>
      <c r="BN219" s="14">
        <v>0</v>
      </c>
      <c r="BO219" s="14">
        <v>0</v>
      </c>
      <c r="BP219" s="14">
        <v>3</v>
      </c>
      <c r="BQ219" s="14">
        <v>1.2</v>
      </c>
      <c r="BR219" s="14">
        <v>0.875</v>
      </c>
    </row>
    <row r="220" spans="1:70" ht="15" customHeight="1">
      <c r="A220" s="24">
        <v>2018</v>
      </c>
      <c r="B220" s="24" t="s">
        <v>136</v>
      </c>
      <c r="C220" s="24" t="s">
        <v>176</v>
      </c>
      <c r="D220" s="24" t="s">
        <v>178</v>
      </c>
      <c r="E220" s="23"/>
      <c r="F220" s="24" t="s">
        <v>207</v>
      </c>
      <c r="G220" s="24" t="s">
        <v>225</v>
      </c>
      <c r="H220" s="23" t="s">
        <v>225</v>
      </c>
      <c r="I220" s="24" t="s">
        <v>225</v>
      </c>
      <c r="J220" s="23" t="s">
        <v>226</v>
      </c>
      <c r="K220" s="24" t="s">
        <v>226</v>
      </c>
      <c r="L220" s="23"/>
      <c r="M220" s="25">
        <v>43592</v>
      </c>
      <c r="N220" s="24">
        <v>2019</v>
      </c>
      <c r="O220" s="73" t="s">
        <v>184</v>
      </c>
      <c r="P220" s="68"/>
      <c r="Q220" s="68"/>
      <c r="R220" s="68"/>
      <c r="S220" s="68"/>
      <c r="T220" s="69"/>
      <c r="U220" s="5">
        <f>COUNTIFS(   D4:D1440,"Cultura Artística")</f>
        <v>10</v>
      </c>
      <c r="V220" s="5">
        <f>COUNTIFS(   D4:D1440,"Cultura Artística",F4:F1440,"Hombre")</f>
        <v>4</v>
      </c>
      <c r="W220" s="5">
        <f>COUNTIFS(   D4:D1440,"Cultura Artística",F4:F1440,"Mujer")</f>
        <v>6</v>
      </c>
      <c r="X220" s="19">
        <f>COUNTIFS(   A4:A1440,"2018", D4:D1440,"Cultura Artística")</f>
        <v>0</v>
      </c>
      <c r="Y220" s="5">
        <f>COUNTIFS(   A4:A1440,"2019", D4:D1440,"Cultura Artística")</f>
        <v>5</v>
      </c>
      <c r="Z220" s="5">
        <f>COUNTIFS(   A4:A1440,"2020", D4:D1440,"Cultura Artística")</f>
        <v>3</v>
      </c>
      <c r="AA220" s="5">
        <f>COUNTIFS(   A4:A1440,"2021", D4:D1440,"Cultura Artística")</f>
        <v>2</v>
      </c>
      <c r="AB220" s="5">
        <f>COUNTIFS(  A4:A1440,"2022", D4:D1440,"Cultura Artística")</f>
        <v>0</v>
      </c>
      <c r="AC220" s="19">
        <f>COUNTIFS(   N4:N1440,"2018", D4:D1440,"Cultura Artística")</f>
        <v>0</v>
      </c>
      <c r="AD220" s="5">
        <f>COUNTIFS(   N4:N1440,"2019", D4:D1440,"Cultura Artística")</f>
        <v>2</v>
      </c>
      <c r="AE220" s="5">
        <f>COUNTIFS(   N4:N1440,"2020", D4:D1440,"Cultura Artística")</f>
        <v>4</v>
      </c>
      <c r="AF220" s="5">
        <f>COUNTIFS(   N4:N1440,"2021", D4:D1440,"Cultura Artística")</f>
        <v>3</v>
      </c>
      <c r="AG220" s="5">
        <f>COUNTIFS(   N4:N1440,"2022", D4:D1440,"Cultura Artística")</f>
        <v>1</v>
      </c>
      <c r="AH220" s="5">
        <f>COUNTIFS(   D4:D1440,"Cultura Artística",G4:G1440,"Sí")</f>
        <v>1</v>
      </c>
      <c r="AI220" s="5">
        <f>COUNTIFS(   D4:D1440,"Cultura Artística",G4:G1440,"No")</f>
        <v>9</v>
      </c>
      <c r="AJ220" s="5">
        <f>SUMIFS( E4:E1440, D4:D1440,"Cultura Artística",G4:G1440,"Sí")</f>
        <v>3</v>
      </c>
      <c r="AK220" s="5">
        <f>SUMIFS( E4:E1440, D4:D1440,"Cultura Artística",G4:G1440,"No")</f>
        <v>38</v>
      </c>
      <c r="AL220" s="5">
        <f>COUNTIFS(   D4:D1440,"Cultura Artística",H4:H1440,"Sí")</f>
        <v>6</v>
      </c>
      <c r="AM220" s="5">
        <f>COUNTIFS(   D4:D1440,"Cultura Artística",I4:I1440,"Sí")</f>
        <v>3</v>
      </c>
      <c r="AN220" s="5">
        <f>COUNTIFS(   D4:D1440,"Cultura Artística",I4:I1440,"No")</f>
        <v>7</v>
      </c>
      <c r="AO220" s="5">
        <f>SUMIFS( E4:E1440, D4:D1440,"Cultura Artística",I4:I1440,"Sí")</f>
        <v>10</v>
      </c>
      <c r="AP220" s="5">
        <f>SUMIFS( E4:E1440, D4:D1440,"Cultura Artística",I4:I1440,"No")</f>
        <v>31</v>
      </c>
      <c r="AQ220" s="5">
        <f>COUNTIFS(   D4:D1440,"Cultura Artística",J4:J1440,"Sí")</f>
        <v>10</v>
      </c>
      <c r="AR220" s="5">
        <f>COUNTIFS(   D4:D1440,"Cultura Artística",K4:K1440,"Sí")</f>
        <v>3</v>
      </c>
      <c r="AS220" s="5">
        <f>COUNTIFS(   D4:D1440,"Cultura Artística",L4:L1440,"Sí")</f>
        <v>0</v>
      </c>
      <c r="AT220" s="5">
        <f>SUMIFS( E4:E1440, D4:D1440,"Cultura Artística")</f>
        <v>41</v>
      </c>
      <c r="AU220" s="5">
        <f>SUMIFS( E4:E1440, F4:F1440,"Hombre", D4:D1440,"Cultura Artística")</f>
        <v>4</v>
      </c>
      <c r="AV220" s="5">
        <f>SUMIFS( E4:E1440, F4:F1440,"Mujer", D4:D1440,"Cultura Artística")</f>
        <v>37</v>
      </c>
      <c r="AW220" s="19">
        <f>SUMIFS( E4:E1440, A4:A1440,"2018", D4:D1440,"Cultura Artística")</f>
        <v>0</v>
      </c>
      <c r="AX220" s="5">
        <f>SUMIFS( E4:E1440, A4:A1440,"2019", D4:D1440,"Cultura Artística")</f>
        <v>11</v>
      </c>
      <c r="AY220" s="5">
        <f>SUMIFS( E4:E1440, A4:A1440,"2020", D4:D1440,"Cultura Artística")</f>
        <v>30</v>
      </c>
      <c r="AZ220" s="5">
        <f>SUMIFS( E4:E1440, A4:A1440,"2021", D4:D1440,"Cultura Artística")</f>
        <v>0</v>
      </c>
      <c r="BA220" s="5">
        <f>SUMIFS( E4:E1440, A4:A1440,"2022", D4:D1440,"Cultura Artística")</f>
        <v>0</v>
      </c>
      <c r="BB220" s="19">
        <f>SUMIFS( E4:E1440, N4:N1440,"2018", D4:D1440,"Cultura Artística")</f>
        <v>0</v>
      </c>
      <c r="BC220" s="5">
        <f>SUMIFS( E4:E1440, N4:N1440,"2019", D4:D1440,"Cultura Artística")</f>
        <v>7</v>
      </c>
      <c r="BD220" s="5">
        <f>SUMIFS( E4:E1440, N4:N1440,"2020", D4:D1440,"Cultura Artística")</f>
        <v>4</v>
      </c>
      <c r="BE220" s="5">
        <f>SUMIFS( E4:E1440, N4:N1440,"2021", D4:D1440,"Cultura Artística")</f>
        <v>30</v>
      </c>
      <c r="BF220" s="5">
        <f>SUMIFS( E4:E1440, N4:N1440,"2022", D4:D1440,"Cultura Artística")</f>
        <v>0</v>
      </c>
      <c r="BG220" s="14">
        <f>AVERAGEIFS( E4:E1440, D4:D1440,"Cultura Artística")</f>
        <v>6.833333333333333</v>
      </c>
      <c r="BH220" s="14">
        <v>0</v>
      </c>
      <c r="BI220" s="14">
        <v>0</v>
      </c>
      <c r="BJ220" s="14">
        <v>0</v>
      </c>
      <c r="BK220" s="14" t="e">
        <f>AVERAGEIFS( E4:E1440, A4:A1440,"2021", D4:D1440,"Cultura Artística")</f>
        <v>#DIV/0!</v>
      </c>
      <c r="BL220" s="37" t="e">
        <f>AVERAGEIFS( E4:E1440, A4:A1440,"2022", D4:D1440,"Cultura Artística")</f>
        <v>#DIV/0!</v>
      </c>
      <c r="BM220" s="14">
        <v>1</v>
      </c>
      <c r="BN220" s="14">
        <v>0</v>
      </c>
      <c r="BO220" s="14">
        <v>0</v>
      </c>
      <c r="BP220" s="14">
        <v>0</v>
      </c>
      <c r="BQ220" s="14">
        <v>0</v>
      </c>
      <c r="BR220" s="14">
        <v>1.3333333333333333</v>
      </c>
    </row>
    <row r="221" spans="1:70" ht="15" customHeight="1">
      <c r="A221" s="24">
        <v>2018</v>
      </c>
      <c r="B221" s="24" t="s">
        <v>78</v>
      </c>
      <c r="C221" s="24" t="s">
        <v>681</v>
      </c>
      <c r="D221" s="24"/>
      <c r="E221" s="23">
        <v>1</v>
      </c>
      <c r="F221" s="24" t="s">
        <v>211</v>
      </c>
      <c r="G221" s="24" t="s">
        <v>225</v>
      </c>
      <c r="H221" s="23" t="s">
        <v>226</v>
      </c>
      <c r="I221" s="24" t="s">
        <v>225</v>
      </c>
      <c r="J221" s="23" t="s">
        <v>226</v>
      </c>
      <c r="K221" s="24" t="s">
        <v>226</v>
      </c>
      <c r="L221" s="23"/>
      <c r="M221" s="26" t="s">
        <v>328</v>
      </c>
      <c r="N221" s="24">
        <v>2019</v>
      </c>
      <c r="O221" s="73" t="s">
        <v>178</v>
      </c>
      <c r="P221" s="68"/>
      <c r="Q221" s="68"/>
      <c r="R221" s="68"/>
      <c r="S221" s="68"/>
      <c r="T221" s="69"/>
      <c r="U221" s="5">
        <f>COUNTIFS(   D4:D1440,"Cultura, Creación y Educación Musical")</f>
        <v>8</v>
      </c>
      <c r="V221" s="5">
        <f>COUNTIFS(   D4:D1440,"Cultura, Creación y Educación Musical",F4:F1440,"Hombre")</f>
        <v>4</v>
      </c>
      <c r="W221" s="5">
        <f>COUNTIFS(   D4:D1440,"Cultura, Creación y Educación Musical",F4:F1440,"Mujer")</f>
        <v>4</v>
      </c>
      <c r="X221" s="19">
        <f>COUNTIFS(   A4:A1440,"2018", D4:D1440,"Cultura, Creación y Educación Musical")</f>
        <v>2</v>
      </c>
      <c r="Y221" s="5">
        <f>COUNTIFS(   A4:A1440,"2019", D4:D1440,"Cultura, Creación y Educación Musical")</f>
        <v>2</v>
      </c>
      <c r="Z221" s="5">
        <f>COUNTIFS(   A4:A1440,"2020", D4:D1440,"Cultura, Creación y Educación Musical")</f>
        <v>3</v>
      </c>
      <c r="AA221" s="5">
        <f>COUNTIFS(   A4:A1440,"2021", D4:D1440,"Cultura, Creación y Educación Musical")</f>
        <v>1</v>
      </c>
      <c r="AB221" s="5">
        <f>COUNTIFS(  A4:A1440,"2022", D4:D1440,"Cultura, Creación y Educación Musical")</f>
        <v>0</v>
      </c>
      <c r="AC221" s="19">
        <f>COUNTIFS(   N4:N1440,"2018", D4:D1440,"Cultura, Creación y Educación Musical")</f>
        <v>1</v>
      </c>
      <c r="AD221" s="5">
        <f>COUNTIFS(   N4:N1440,"2019", D4:D1440,"Cultura, Creación y Educación Musical")</f>
        <v>1</v>
      </c>
      <c r="AE221" s="5">
        <f>COUNTIFS(   N4:N1440,"2020", D4:D1440,"Cultura, Creación y Educación Musical")</f>
        <v>2</v>
      </c>
      <c r="AF221" s="5">
        <f>COUNTIFS(   N4:N1440,"2021", D4:D1440,"Cultura, Creación y Educación Musical")</f>
        <v>4</v>
      </c>
      <c r="AG221" s="5">
        <f>COUNTIFS(   N4:N1440,"2022", D4:D1440,"Cultura, Creación y Educación Musical")</f>
        <v>0</v>
      </c>
      <c r="AH221" s="5">
        <f>COUNTIFS(   D4:D1440,"Cultura, Creación y Educación Musical",G4:G1440,"Sí")</f>
        <v>0</v>
      </c>
      <c r="AI221" s="5">
        <f>COUNTIFS(   D4:D1440,"Cultura, Creación y Educación Musical",G4:G1440,"No")</f>
        <v>8</v>
      </c>
      <c r="AJ221" s="5">
        <f>SUMIFS( E4:E1440, D4:D1440,"Cultura, Creación y Educación Musical",G4:G1440,"Sí")</f>
        <v>0</v>
      </c>
      <c r="AK221" s="5">
        <f>SUMIFS( E4:E1440, D4:D1440,"Cultura, Creación y Educación Musical",G4:G1440,"No")</f>
        <v>5</v>
      </c>
      <c r="AL221" s="5">
        <f>COUNTIFS(   D4:D1440,"Cultura, Creación y Educación Musical",H4:H1440,"Sí")</f>
        <v>4</v>
      </c>
      <c r="AM221" s="5">
        <f>COUNTIFS(   D4:D1440,"Cultura, Creación y Educación Musical",I4:I1440,"Sí")</f>
        <v>2</v>
      </c>
      <c r="AN221" s="5">
        <f>COUNTIFS(   D4:D1440,"Cultura, Creación y Educación Musical",I4:I1440,"No")</f>
        <v>6</v>
      </c>
      <c r="AO221" s="5">
        <f>SUMIFS( E4:E1440, D4:D1440,"Cultura, Creación y Educación Musical",I4:I1440,"Sí")</f>
        <v>1</v>
      </c>
      <c r="AP221" s="5">
        <f>SUMIFS( E4:E1440, D4:D1440,"Cultura, Creación y Educación Musical",I4:I1440,"No")</f>
        <v>4</v>
      </c>
      <c r="AQ221" s="5">
        <f>COUNTIFS(   D4:D1440,"Cultura, Creación y Educación Musical",J4:J1440,"Sí")</f>
        <v>8</v>
      </c>
      <c r="AR221" s="5">
        <f>COUNTIFS(   D4:D1440,"Cultura, Creación y Educación Musical",K4:K1440,"Sí")</f>
        <v>3</v>
      </c>
      <c r="AS221" s="5">
        <f>COUNTIFS(   D4:D1440,"Cultura, Creación y Educación Musical",L4:L1440,"Sí")</f>
        <v>0</v>
      </c>
      <c r="AT221" s="5">
        <f>SUMIFS( E4:E1440, D4:D1440,"Cultura, Creación y Educación Musical")</f>
        <v>5</v>
      </c>
      <c r="AU221" s="5">
        <f>SUMIFS( E4:E1440, F4:F1440,"Hombre", D4:D1440,"Cultura, Creación y Educación Musical")</f>
        <v>2</v>
      </c>
      <c r="AV221" s="5">
        <f>SUMIFS( E4:E1440, F4:F1440,"Mujer", D4:D1440,"Cultura, Creación y Educación Musical")</f>
        <v>3</v>
      </c>
      <c r="AW221" s="19">
        <f>SUMIFS( E4:E1440, A4:A1440,"2018", D4:D1440,"Cultura, Creación y Educación Musical")</f>
        <v>1</v>
      </c>
      <c r="AX221" s="5">
        <f>SUMIFS( E4:E1440, A4:A1440,"2019", D4:D1440,"Cultura, Creación y Educación Musical")</f>
        <v>2</v>
      </c>
      <c r="AY221" s="5">
        <f>SUMIFS( E4:E1440, A4:A1440,"2020", D4:D1440,"Cultura, Creación y Educación Musical")</f>
        <v>1</v>
      </c>
      <c r="AZ221" s="5">
        <f>SUMIFS( E4:E1440, A4:A1440,"2021", D4:D1440,"Cultura, Creación y Educación Musical")</f>
        <v>1</v>
      </c>
      <c r="BA221" s="5">
        <f>SUMIFS( E4:E1440, A4:A1440,"2022", D4:D1440,"Cultura, Creación y Educación Musical")</f>
        <v>0</v>
      </c>
      <c r="BB221" s="19">
        <f>SUMIFS( E4:E1440, N4:N1440,"2018", D4:D1440,"Cultura, Creación y Educación Musical")</f>
        <v>1</v>
      </c>
      <c r="BC221" s="5">
        <f>SUMIFS( E4:E1440, N4:N1440,"2019", D4:D1440,"Cultura, Creación y Educación Musical")</f>
        <v>0</v>
      </c>
      <c r="BD221" s="5">
        <f>SUMIFS( E4:E1440, N4:N1440,"2020", D4:D1440,"Cultura, Creación y Educación Musical")</f>
        <v>2</v>
      </c>
      <c r="BE221" s="5">
        <f>SUMIFS( E4:E1440, N4:N1440,"2021", D4:D1440,"Cultura, Creación y Educación Musical")</f>
        <v>2</v>
      </c>
      <c r="BF221" s="5">
        <f>SUMIFS( E4:E1440, N4:N1440,"2022", D4:D1440,"Cultura, Creación y Educación Musical")</f>
        <v>0</v>
      </c>
      <c r="BG221" s="14">
        <f>AVERAGEIFS( E4:E1440, D4:D1440,"Cultura, Creación y Educación Musical")</f>
        <v>1</v>
      </c>
      <c r="BH221" s="14">
        <v>0</v>
      </c>
      <c r="BI221" s="14">
        <v>0</v>
      </c>
      <c r="BJ221" s="14">
        <v>0</v>
      </c>
      <c r="BK221" s="14">
        <f>AVERAGEIFS( E4:E1440, A4:A1440,"2021", D4:D1440,"Cultura, Creación y Educación Musical")</f>
        <v>1</v>
      </c>
      <c r="BL221" s="37" t="e">
        <f>AVERAGEIFS( E4:E1440, A4:A1440,"2022", D4:D1440,"Cultura, Creación y Educación Musical")</f>
        <v>#DIV/0!</v>
      </c>
      <c r="BM221" s="14">
        <v>0.5</v>
      </c>
      <c r="BN221" s="14">
        <v>0</v>
      </c>
      <c r="BO221" s="14">
        <v>0</v>
      </c>
      <c r="BP221" s="14">
        <v>0</v>
      </c>
      <c r="BQ221" s="14">
        <v>0.75</v>
      </c>
      <c r="BR221" s="14">
        <v>0.25</v>
      </c>
    </row>
    <row r="222" spans="1:70" ht="15" customHeight="1">
      <c r="A222" s="24">
        <v>2018</v>
      </c>
      <c r="B222" s="24" t="s">
        <v>136</v>
      </c>
      <c r="C222" s="24" t="s">
        <v>168</v>
      </c>
      <c r="D222" s="24" t="s">
        <v>169</v>
      </c>
      <c r="E222" s="23"/>
      <c r="F222" s="24" t="s">
        <v>207</v>
      </c>
      <c r="G222" s="24" t="s">
        <v>225</v>
      </c>
      <c r="H222" s="23" t="s">
        <v>225</v>
      </c>
      <c r="I222" s="24" t="s">
        <v>225</v>
      </c>
      <c r="J222" s="23" t="s">
        <v>226</v>
      </c>
      <c r="K222" s="24" t="s">
        <v>226</v>
      </c>
      <c r="L222" s="23"/>
      <c r="M222" s="26" t="s">
        <v>328</v>
      </c>
      <c r="N222" s="24">
        <v>2019</v>
      </c>
      <c r="O222" s="48" t="s">
        <v>409</v>
      </c>
      <c r="P222" s="49"/>
      <c r="Q222" s="49"/>
      <c r="R222" s="49"/>
      <c r="S222" s="49"/>
      <c r="T222" s="50"/>
      <c r="U222" s="5">
        <f>COUNTIFS(   D5:D1441,"Formas de pensamiento y Religión")</f>
        <v>3</v>
      </c>
      <c r="V222" s="5">
        <f>COUNTIFS(   D5:D1441,"Formas de pensamiento y Religión",F5:F1441,"Hombre")</f>
        <v>2</v>
      </c>
      <c r="W222" s="5">
        <f>COUNTIFS(   D5:D1441,"Formas de pensamiento y Religión",F5:F1441,"Mujer")</f>
        <v>1</v>
      </c>
      <c r="X222" s="19">
        <f>COUNTIFS(   A5:A1441,"2018", D5:D1441,"Formas de pensamiento y Religión")</f>
        <v>0</v>
      </c>
      <c r="Y222" s="5">
        <f>COUNTIFS(   A5:A1441,"2019", D5:D1441,"Formas de pensamiento y Religión")</f>
        <v>2</v>
      </c>
      <c r="Z222" s="5">
        <f>COUNTIFS(   A5:A1441,"2020", D5:D1441,"Formas de pensamiento y Religión")</f>
        <v>1</v>
      </c>
      <c r="AA222" s="5">
        <f>COUNTIFS(   A5:A1441,"2021", D5:D1441,"Formas de pensamiento y Religión")</f>
        <v>0</v>
      </c>
      <c r="AB222" s="5">
        <f>COUNTIFS(  A5:A1441,"2022", D5:D1441,"Formas de pensamiento y Religión")</f>
        <v>0</v>
      </c>
      <c r="AC222" s="19">
        <f>COUNTIFS(   N5:N1441,"2018", D5:D1441,"Formas de pensamiento y Religión")</f>
        <v>0</v>
      </c>
      <c r="AD222" s="5">
        <f>COUNTIFS(   N5:N1441,"2019", D5:D1441,"Formas de pensamiento y Religión")</f>
        <v>1</v>
      </c>
      <c r="AE222" s="5">
        <f>COUNTIFS(   N5:N1441,"2020", D5:D1441,"Formas de pensamiento y Religión")</f>
        <v>1</v>
      </c>
      <c r="AF222" s="5">
        <f>COUNTIFS(   N5:N1441,"2021", D5:D1441,"Formas de pensamiento y Religión")</f>
        <v>1</v>
      </c>
      <c r="AG222" s="5">
        <f>COUNTIFS(   N5:N1441,"2022", D5:D1441,"Formas de pensamiento y Religión")</f>
        <v>0</v>
      </c>
      <c r="AH222" s="5">
        <f>COUNTIFS(   D5:D1441,"Formas de pensamiento y Religión",G5:G1441,"Sí")</f>
        <v>1</v>
      </c>
      <c r="AI222" s="5">
        <f>COUNTIFS(   D5:D1441,"Formas de pensamiento y Religión",G5:G1441,"No")</f>
        <v>2</v>
      </c>
      <c r="AJ222" s="5">
        <f>SUMIFS( E5:E1441, D5:D1441,"Formas de pensamiento y Religión",G5:G1441,"Sí")</f>
        <v>33</v>
      </c>
      <c r="AK222" s="5">
        <f>SUMIFS( E5:E1441, D5:D1441,"Formas de pensamiento y Religión",G5:G1441,"No")</f>
        <v>10</v>
      </c>
      <c r="AL222" s="5">
        <f>COUNTIFS(   D5:D1441,"Formas de pensamiento y Religión",H5:H1441,"Sí")</f>
        <v>3</v>
      </c>
      <c r="AM222" s="5">
        <f>COUNTIFS(   D5:D1441,"Formas de pensamiento y Religión",I5:I1441,"Sí")</f>
        <v>3</v>
      </c>
      <c r="AN222" s="5">
        <f>COUNTIFS(   D5:D1441,"Formas de pensamiento y Religión",I5:I1441,"No")</f>
        <v>0</v>
      </c>
      <c r="AO222" s="5">
        <f>SUMIFS( E5:E1441, D5:D1441,"Formas de pensamiento y Religión",I5:I1441,"Sí")</f>
        <v>43</v>
      </c>
      <c r="AP222" s="5">
        <f>SUMIFS( E5:E1441, D5:D1441,"Formas de pensamiento y Religión",I5:I1441,"No")</f>
        <v>0</v>
      </c>
      <c r="AQ222" s="5">
        <f>COUNTIFS(   D5:D1441,"Formas de pensamiento y Religión",J5:J1441,"Sí")</f>
        <v>3</v>
      </c>
      <c r="AR222" s="5">
        <f>COUNTIFS(   D5:D1441,"Formas de pensamiento y Religión",K5:K1441,"Sí")</f>
        <v>1</v>
      </c>
      <c r="AS222" s="5">
        <f>COUNTIFS(   D5:D1441,"Formas de pensamiento y Religión",L5:L1441,"Sí")</f>
        <v>0</v>
      </c>
      <c r="AT222" s="5">
        <f>SUMIFS( E5:E1441, D5:D1441,"Formas de pensamiento y Religión")</f>
        <v>43</v>
      </c>
      <c r="AU222" s="5">
        <f>SUMIFS( E5:E1441, F5:F1441,"Hombre", D5:D1441,"Formas de pensamiento y Religión")</f>
        <v>10</v>
      </c>
      <c r="AV222" s="5">
        <f>SUMIFS( E5:E1441, F5:F1441,"Mujer", D5:D1441,"Formas de pensamiento y Religión")</f>
        <v>33</v>
      </c>
      <c r="AW222" s="19">
        <f>SUMIFS( E5:E1441, A5:A1441,"2018", D5:D1441,"Formas de pensamiento y Religión")</f>
        <v>0</v>
      </c>
      <c r="AX222" s="5">
        <f>SUMIFS( E5:E1441, A5:A1441,"2019", D5:D1441,"Formas de pensamiento y Religión")</f>
        <v>41</v>
      </c>
      <c r="AY222" s="5">
        <f>SUMIFS( E5:E1441, A5:A1441,"2020", D5:D1441,"Formas de pensamiento y Religión")</f>
        <v>2</v>
      </c>
      <c r="AZ222" s="5">
        <f>SUMIFS( E5:E1441, A5:A1441,"2021", D5:D1441,"Formas de pensamiento y Religión")</f>
        <v>0</v>
      </c>
      <c r="BA222" s="5">
        <f>SUMIFS( E5:E1441, A5:A1441,"2022", D5:D1441,"Formas de pensamiento y Religión")</f>
        <v>0</v>
      </c>
      <c r="BB222" s="19">
        <f>SUMIFS( E5:E1441, N5:N1441,"2018", D5:D1441,"Formas de pensamiento y Religión")</f>
        <v>0</v>
      </c>
      <c r="BC222" s="5">
        <f>SUMIFS( E5:E1441, N5:N1441,"2019", D5:D1441,"Formas de pensamiento y Religión")</f>
        <v>8</v>
      </c>
      <c r="BD222" s="5">
        <f>SUMIFS( E5:E1441, N5:N1441,"2020", D5:D1441,"Formas de pensamiento y Religión")</f>
        <v>33</v>
      </c>
      <c r="BE222" s="5">
        <f>SUMIFS( E5:E1441, N5:N1441,"2021", D5:D1441,"Formas de pensamiento y Religión")</f>
        <v>2</v>
      </c>
      <c r="BF222" s="5">
        <f>SUMIFS( E5:E1441, N5:N1441,"2022", D5:D1441,"Formas de pensamiento y Religión")</f>
        <v>0</v>
      </c>
      <c r="BG222" s="14">
        <f>AVERAGEIFS( E5:E1441, D5:D1441,"Formas de pensamiento y Religión")</f>
        <v>14.333333333333334</v>
      </c>
      <c r="BH222" s="14"/>
      <c r="BI222" s="14"/>
      <c r="BJ222" s="14"/>
      <c r="BK222" s="14"/>
      <c r="BL222" s="37"/>
      <c r="BM222" s="14"/>
      <c r="BN222" s="14"/>
      <c r="BO222" s="14"/>
      <c r="BP222" s="14"/>
      <c r="BQ222" s="14"/>
      <c r="BR222" s="14"/>
    </row>
    <row r="223" spans="1:70" ht="15" customHeight="1">
      <c r="A223" s="24">
        <v>2018</v>
      </c>
      <c r="B223" s="24" t="s">
        <v>4</v>
      </c>
      <c r="C223" s="24" t="s">
        <v>203</v>
      </c>
      <c r="D223" s="24" t="s">
        <v>40</v>
      </c>
      <c r="E223" s="23">
        <v>17</v>
      </c>
      <c r="F223" s="24" t="s">
        <v>211</v>
      </c>
      <c r="G223" s="24" t="s">
        <v>225</v>
      </c>
      <c r="H223" s="23" t="s">
        <v>226</v>
      </c>
      <c r="I223" s="24" t="s">
        <v>226</v>
      </c>
      <c r="J223" s="23" t="s">
        <v>226</v>
      </c>
      <c r="K223" s="24" t="s">
        <v>226</v>
      </c>
      <c r="L223" s="23"/>
      <c r="M223" s="26" t="s">
        <v>329</v>
      </c>
      <c r="N223" s="24">
        <v>2019</v>
      </c>
      <c r="O223" s="76" t="s">
        <v>185</v>
      </c>
      <c r="P223" s="77"/>
      <c r="Q223" s="77"/>
      <c r="R223" s="77"/>
      <c r="S223" s="77"/>
      <c r="T223" s="78"/>
      <c r="U223" s="5">
        <f>COUNTIFS(   D4:D1440,"Género e Historia")</f>
        <v>0</v>
      </c>
      <c r="V223" s="5">
        <f>COUNTIFS(   D4:D1440,"Género e Historia",F4:F1440,"Hombre")</f>
        <v>0</v>
      </c>
      <c r="W223" s="5">
        <f>COUNTIFS(   D4:D1440,"Género e Historia",F4:F1440,"Mujer")</f>
        <v>0</v>
      </c>
      <c r="X223" s="19">
        <f>COUNTIFS(   A4:A1440,"2018", D4:D1440,"Género e Historia")</f>
        <v>0</v>
      </c>
      <c r="Y223" s="5">
        <f>COUNTIFS(   A4:A1440,"2019", D4:D1440,"Género e Historia")</f>
        <v>0</v>
      </c>
      <c r="Z223" s="5">
        <f>COUNTIFS(   A4:A1440,"2020", D4:D1440,"Género e Historia")</f>
        <v>0</v>
      </c>
      <c r="AA223" s="5">
        <f>COUNTIFS(   A4:A1440,"2021", D4:D1440,"Género e Historia")</f>
        <v>0</v>
      </c>
      <c r="AB223" s="5">
        <f>COUNTIFS(  A4:A1440,"2022", D4:D1440,"Género e Historia")</f>
        <v>0</v>
      </c>
      <c r="AC223" s="19">
        <f>COUNTIFS(   N4:N1440,"2018", D4:D1440,"Género e Historia")</f>
        <v>0</v>
      </c>
      <c r="AD223" s="5">
        <f>COUNTIFS(   N4:N1440,"2019", D4:D1440,"Género e Historia")</f>
        <v>0</v>
      </c>
      <c r="AE223" s="5">
        <f>COUNTIFS(   N4:N1440,"2020", D4:D1440,"Género e Historia")</f>
        <v>0</v>
      </c>
      <c r="AF223" s="5">
        <f>COUNTIFS(   N4:N1440,"2021", D4:D1440,"Género e Historia")</f>
        <v>0</v>
      </c>
      <c r="AG223" s="5">
        <f>COUNTIFS(   N4:N1440,"2022", D4:D1440,"Género e Historia")</f>
        <v>0</v>
      </c>
      <c r="AH223" s="5">
        <f>COUNTIFS(   D4:D1440,"Género e Historia",G4:G1440,"Sí")</f>
        <v>0</v>
      </c>
      <c r="AI223" s="5">
        <f>COUNTIFS(   D4:D1440,"Género e Historia",G4:G1440,"No")</f>
        <v>0</v>
      </c>
      <c r="AJ223" s="5">
        <f>SUMIFS( E4:E1440, D4:D1440,"Género e Historia",G4:G1440,"Sí")</f>
        <v>0</v>
      </c>
      <c r="AK223" s="5">
        <f>SUMIFS( E4:E1440, D4:D1440,"Género e Historia",G4:G1440,"No")</f>
        <v>0</v>
      </c>
      <c r="AL223" s="5">
        <f>COUNTIFS(   D4:D1440,"Género e Historia",H4:H1440,"Sí")</f>
        <v>0</v>
      </c>
      <c r="AM223" s="5">
        <f>COUNTIFS(   D4:D1440,"Género e Historia",I4:I1440,"Sí")</f>
        <v>0</v>
      </c>
      <c r="AN223" s="5">
        <f>COUNTIFS(   D4:D1440,"Género e Historia",I4:I1440,"No")</f>
        <v>0</v>
      </c>
      <c r="AO223" s="5">
        <f>SUMIFS( E4:E1440, D4:D1440,"Género e Historia",I4:I1440,"Sí")</f>
        <v>0</v>
      </c>
      <c r="AP223" s="5">
        <f>SUMIFS( E4:E1440, D4:D1440,"Género e Historia",I4:I1440,"No")</f>
        <v>0</v>
      </c>
      <c r="AQ223" s="5">
        <f>COUNTIFS(   D4:D1440,"Género e Historia",J4:J1440,"Sí")</f>
        <v>0</v>
      </c>
      <c r="AR223" s="5">
        <f>COUNTIFS(   D4:D1440,"Género e Historia",K4:K1440,"Sí")</f>
        <v>0</v>
      </c>
      <c r="AS223" s="5">
        <f>COUNTIFS(   D4:D1440,"Género e Historia",L4:L1440,"Sí")</f>
        <v>0</v>
      </c>
      <c r="AT223" s="5">
        <f>SUMIFS( E4:E1440, D4:D1440,"Género e Historia")</f>
        <v>0</v>
      </c>
      <c r="AU223" s="5">
        <f>SUMIFS( E4:E1440, F4:F1440,"Hombre", D4:D1440,"Género e Historia")</f>
        <v>0</v>
      </c>
      <c r="AV223" s="5">
        <f>SUMIFS( E4:E1440, F4:F1440,"Mujer", D4:D1440,"Género e Historia")</f>
        <v>0</v>
      </c>
      <c r="AW223" s="19">
        <f>SUMIFS( E4:E1440, A4:A1440,"2018", D4:D1440,"Género e Historia")</f>
        <v>0</v>
      </c>
      <c r="AX223" s="5">
        <f>SUMIFS( E4:E1440, A4:A1440,"2019", D4:D1440,"Género e Historia")</f>
        <v>0</v>
      </c>
      <c r="AY223" s="5">
        <f>SUMIFS( E4:E1440, A4:A1440,"2020", D4:D1440,"Género e Historia")</f>
        <v>0</v>
      </c>
      <c r="AZ223" s="5">
        <f>SUMIFS( E4:E1440, A4:A1440,"2021", D4:D1440,"Género e Historia")</f>
        <v>0</v>
      </c>
      <c r="BA223" s="5">
        <f>SUMIFS( E4:E1440, A4:A1440,"2022", D4:D1440,"Género e Historia")</f>
        <v>0</v>
      </c>
      <c r="BB223" s="19">
        <f>SUMIFS( E4:E1440, N4:N1440,"2018", D4:D1440,"Género e Historia")</f>
        <v>0</v>
      </c>
      <c r="BC223" s="5">
        <f>SUMIFS( E4:E1440, N4:N1440,"2019", D4:D1440,"Género e Historia")</f>
        <v>0</v>
      </c>
      <c r="BD223" s="5">
        <f>SUMIFS( E4:E1440, N4:N1440,"2020", D4:D1440,"Género e Historia")</f>
        <v>0</v>
      </c>
      <c r="BE223" s="5">
        <f>SUMIFS( E4:E1440, N4:N1440,"2021", D4:D1440,"Género e Historia")</f>
        <v>0</v>
      </c>
      <c r="BF223" s="5">
        <f>SUMIFS( E4:E1440, N4:N1440,"2022", D4:D1440,"Género e Historia")</f>
        <v>0</v>
      </c>
      <c r="BG223" s="14" t="e">
        <f>AVERAGEIFS( E4:E1440, D4:D1440,"Género e Historia")</f>
        <v>#DIV/0!</v>
      </c>
      <c r="BH223" s="14">
        <v>0</v>
      </c>
      <c r="BI223" s="14">
        <v>0</v>
      </c>
      <c r="BJ223" s="14">
        <v>0</v>
      </c>
      <c r="BK223" s="14">
        <v>0</v>
      </c>
      <c r="BL223" s="37" t="e">
        <f>AVERAGEIFS( E4:E1440, A4:A1440,"2022", D4:D1440,"Género e Historia")</f>
        <v>#DIV/0!</v>
      </c>
      <c r="BM223" s="14">
        <v>3</v>
      </c>
      <c r="BN223" s="14">
        <v>0</v>
      </c>
      <c r="BO223" s="14">
        <v>0</v>
      </c>
      <c r="BP223" s="14">
        <v>0</v>
      </c>
      <c r="BQ223" s="14">
        <v>0</v>
      </c>
      <c r="BR223" s="14">
        <v>3</v>
      </c>
    </row>
    <row r="224" spans="1:70" ht="15" customHeight="1">
      <c r="A224" s="24">
        <v>2018</v>
      </c>
      <c r="B224" s="24" t="s">
        <v>4</v>
      </c>
      <c r="C224" s="24" t="s">
        <v>203</v>
      </c>
      <c r="D224" s="24" t="s">
        <v>330</v>
      </c>
      <c r="E224" s="23">
        <v>17</v>
      </c>
      <c r="F224" s="24" t="s">
        <v>211</v>
      </c>
      <c r="G224" s="24" t="s">
        <v>225</v>
      </c>
      <c r="H224" s="23" t="s">
        <v>226</v>
      </c>
      <c r="I224" s="24" t="s">
        <v>225</v>
      </c>
      <c r="J224" s="23" t="s">
        <v>226</v>
      </c>
      <c r="K224" s="24" t="s">
        <v>226</v>
      </c>
      <c r="L224" s="23"/>
      <c r="M224" s="26" t="s">
        <v>331</v>
      </c>
      <c r="N224" s="24">
        <v>2019</v>
      </c>
      <c r="O224" s="73" t="s">
        <v>188</v>
      </c>
      <c r="P224" s="68"/>
      <c r="Q224" s="68"/>
      <c r="R224" s="68"/>
      <c r="S224" s="68"/>
      <c r="T224" s="69"/>
      <c r="U224" s="5">
        <f>COUNTIFS(   D4:D1440,"Historia y tradición clásica")</f>
        <v>3</v>
      </c>
      <c r="V224" s="5">
        <f>COUNTIFS(   D4:D1440,"Historia y tradición clásica",F4:F1440,"Hombre")</f>
        <v>2</v>
      </c>
      <c r="W224" s="5">
        <f>COUNTIFS(   D4:D1440,"Historia y tradición clásica",F4:F1440,"Mujer")</f>
        <v>1</v>
      </c>
      <c r="X224" s="19">
        <f>COUNTIFS(   A4:A1440,"2018", D4:D1440,"Historia y tradición clásica")</f>
        <v>1</v>
      </c>
      <c r="Y224" s="5">
        <f>COUNTIFS(   A4:A1440,"2019", D4:D1440,"Historia y tradición clásica")</f>
        <v>1</v>
      </c>
      <c r="Z224" s="5">
        <f>COUNTIFS(   A4:A1440,"2020", D4:D1440,"Historia y tradición clásica")</f>
        <v>1</v>
      </c>
      <c r="AA224" s="5">
        <f>COUNTIFS(   A4:A1440,"2021", D4:D1440,"Historia y tradición clásica")</f>
        <v>0</v>
      </c>
      <c r="AB224" s="5">
        <f>COUNTIFS(  A4:A1440,"2022", D4:D1440,"Historia y tradición clásica")</f>
        <v>0</v>
      </c>
      <c r="AC224" s="19">
        <f>COUNTIFS(   N4:N1440,"2018", D4:D1440,"Historia y tradición clásica")</f>
        <v>0</v>
      </c>
      <c r="AD224" s="5">
        <f>COUNTIFS(   N4:N1440,"2019", D4:D1440,"Historia y tradición clásica")</f>
        <v>1</v>
      </c>
      <c r="AE224" s="5">
        <f>COUNTIFS(   N4:N1440,"2020", D4:D1440,"Historia y tradición clásica")</f>
        <v>1</v>
      </c>
      <c r="AF224" s="5">
        <f>COUNTIFS(   N4:N1440,"2021", D4:D1440,"Historia y tradición clásica")</f>
        <v>1</v>
      </c>
      <c r="AG224" s="5">
        <f>COUNTIFS(   N4:N1440,"2022", D4:D1440,"Historia y tradición clásica")</f>
        <v>0</v>
      </c>
      <c r="AH224" s="5">
        <f>COUNTIFS(   D4:D1440,"Historia y tradición clásica",G4:G1440,"Sí")</f>
        <v>0</v>
      </c>
      <c r="AI224" s="5">
        <f>COUNTIFS(   D4:D1440,"Historia y tradición clásica",G4:G1440,"No")</f>
        <v>3</v>
      </c>
      <c r="AJ224" s="5">
        <f>SUMIFS( E4:E1440, D4:D1440,"Historia y tradición clásica",G4:G1440,"Sí")</f>
        <v>0</v>
      </c>
      <c r="AK224" s="5">
        <f>SUMIFS( E4:E1440, D4:D1440,"Historia y tradición clásica",G4:G1440,"No")</f>
        <v>15</v>
      </c>
      <c r="AL224" s="5">
        <f>COUNTIFS(   D4:D1440,"Historia y tradición clásica",H4:H1440,"Sí")</f>
        <v>2</v>
      </c>
      <c r="AM224" s="5">
        <f>COUNTIFS(   D4:D1440,"Historia y tradición clásica",I4:I1440,"Sí")</f>
        <v>2</v>
      </c>
      <c r="AN224" s="5">
        <f>COUNTIFS(   D4:D1440,"Historia y tradición clásica",I4:I1440,"No")</f>
        <v>1</v>
      </c>
      <c r="AO224" s="5">
        <f>SUMIFS( E4:E1440, D4:D1440,"Historia y tradición clásica",I4:I1440,"Sí")</f>
        <v>15</v>
      </c>
      <c r="AP224" s="5">
        <f>SUMIFS( E4:E1440, D4:D1440,"Historia y tradición clásica",I4:I1440,"No")</f>
        <v>0</v>
      </c>
      <c r="AQ224" s="5">
        <f>COUNTIFS(   D4:D1440,"Historia y tradición clásica",J4:J1440,"Sí")</f>
        <v>3</v>
      </c>
      <c r="AR224" s="5">
        <f>COUNTIFS(   D4:D1440,"Historia y tradición clásica",K4:K1440,"Sí")</f>
        <v>1</v>
      </c>
      <c r="AS224" s="5">
        <f>COUNTIFS(   D4:D1440,"Historia y tradición clásica",L4:L1440,"Sí")</f>
        <v>0</v>
      </c>
      <c r="AT224" s="5">
        <f>SUMIFS( E4:E1440, D4:D1440,"Historia y tradición clásica")</f>
        <v>15</v>
      </c>
      <c r="AU224" s="5">
        <f>SUMIFS( E4:E1440, F4:F1440,"Hombre", D4:D1440,"Historia y tradición clásica")</f>
        <v>10</v>
      </c>
      <c r="AV224" s="5">
        <f>SUMIFS( E4:E1440, F4:F1440,"Mujer", D4:D1440,"Historia y tradición clásica")</f>
        <v>5</v>
      </c>
      <c r="AW224" s="19">
        <f>SUMIFS( E4:E1440, A4:A1440,"2018", D4:D1440,"Historia y tradición clásica")</f>
        <v>10</v>
      </c>
      <c r="AX224" s="5">
        <f>SUMIFS( E4:E1440, A4:A1440,"2019", D4:D1440,"Historia y tradición clásica")</f>
        <v>5</v>
      </c>
      <c r="AY224" s="5">
        <f>SUMIFS( E4:E1440, A4:A1440,"2020", D4:D1440,"Historia y tradición clásica")</f>
        <v>0</v>
      </c>
      <c r="AZ224" s="5">
        <f>SUMIFS( E4:E1440, A4:A1440,"2021", D4:D1440,"Historia y tradición clásica")</f>
        <v>0</v>
      </c>
      <c r="BA224" s="5">
        <f>SUMIFS( E4:E1440, A4:A1440,"2022", D4:D1440,"Historia y tradición clásica")</f>
        <v>0</v>
      </c>
      <c r="BB224" s="19">
        <f>SUMIFS( E4:E1440, N4:N1440,"2018", D4:D1440,"Historia y tradición clásica")</f>
        <v>0</v>
      </c>
      <c r="BC224" s="5">
        <f>SUMIFS( E4:E1440, N4:N1440,"2019", D4:D1440,"Historia y tradición clásica")</f>
        <v>10</v>
      </c>
      <c r="BD224" s="5">
        <f>SUMIFS( E4:E1440, N4:N1440,"2020", D4:D1440,"Historia y tradición clásica")</f>
        <v>5</v>
      </c>
      <c r="BE224" s="5">
        <f>SUMIFS( E4:E1440, N4:N1440,"2021", D4:D1440,"Historia y tradición clásica")</f>
        <v>0</v>
      </c>
      <c r="BF224" s="5">
        <f>SUMIFS( E4:E1440, N4:N1440,"2022", D4:D1440,"Historia y tradición clásica")</f>
        <v>0</v>
      </c>
      <c r="BG224" s="14">
        <f>AVERAGEIFS( E4:E1440, D4:D1440,"Historia y tradición clásica")</f>
        <v>7.5</v>
      </c>
      <c r="BH224" s="14">
        <v>0</v>
      </c>
      <c r="BI224" s="14">
        <v>0</v>
      </c>
      <c r="BJ224" s="14">
        <v>0</v>
      </c>
      <c r="BK224" s="14" t="e">
        <f>AVERAGEIFS( E4:E1440, A4:A1440,"2021", D4:D1440,"Historia y tradición clásica")</f>
        <v>#DIV/0!</v>
      </c>
      <c r="BL224" s="37">
        <v>0</v>
      </c>
      <c r="BM224" s="14">
        <v>2</v>
      </c>
      <c r="BN224" s="14">
        <v>0</v>
      </c>
      <c r="BO224" s="14">
        <v>0</v>
      </c>
      <c r="BP224" s="14">
        <v>0</v>
      </c>
      <c r="BQ224" s="14">
        <v>2</v>
      </c>
      <c r="BR224" s="14">
        <v>0</v>
      </c>
    </row>
    <row r="225" spans="1:70" ht="15" customHeight="1">
      <c r="A225" s="24">
        <v>2018</v>
      </c>
      <c r="B225" s="24" t="s">
        <v>78</v>
      </c>
      <c r="C225" s="24" t="s">
        <v>683</v>
      </c>
      <c r="D225" s="24" t="s">
        <v>332</v>
      </c>
      <c r="E225" s="23">
        <v>26</v>
      </c>
      <c r="F225" s="24" t="s">
        <v>207</v>
      </c>
      <c r="G225" s="24" t="s">
        <v>225</v>
      </c>
      <c r="H225" s="23" t="s">
        <v>226</v>
      </c>
      <c r="I225" s="24" t="s">
        <v>226</v>
      </c>
      <c r="J225" s="23" t="s">
        <v>226</v>
      </c>
      <c r="K225" s="24" t="s">
        <v>226</v>
      </c>
      <c r="L225" s="23"/>
      <c r="M225" s="26" t="s">
        <v>331</v>
      </c>
      <c r="N225" s="24">
        <v>2019</v>
      </c>
      <c r="O225" s="73" t="s">
        <v>187</v>
      </c>
      <c r="P225" s="68"/>
      <c r="Q225" s="68"/>
      <c r="R225" s="68"/>
      <c r="S225" s="68"/>
      <c r="T225" s="69"/>
      <c r="U225" s="5">
        <f>COUNTIFS(   D4:D1440,"Restauración y Conservación de Bienes patrimoniales")</f>
        <v>4</v>
      </c>
      <c r="V225" s="5">
        <f>COUNTIFS(   D4:D1440,"Restauración y Conservación de Bienes patrimoniales",F4:F1440,"Hombre")</f>
        <v>0</v>
      </c>
      <c r="W225" s="5">
        <f>COUNTIFS(   D4:D1440,"Restauración y Conservación de Bienes patrimoniales",F4:F1440,"Mujer")</f>
        <v>4</v>
      </c>
      <c r="X225" s="19">
        <f>COUNTIFS(   A4:A1440,"2018", D4:D1440,"Restauración y Conservación de Bienes patrimoniales")</f>
        <v>1</v>
      </c>
      <c r="Y225" s="5">
        <f>COUNTIFS(   A4:A1440,"2019", D4:D1440,"Restauración y Conservación de Bienes patrimoniales")</f>
        <v>3</v>
      </c>
      <c r="Z225" s="5">
        <f>COUNTIFS(   A4:A1440,"2020", D4:D1440,"Restauración y Conservación de Bienes patrimoniales")</f>
        <v>0</v>
      </c>
      <c r="AA225" s="5">
        <f>COUNTIFS(   A4:A1440,"2021", D4:D1440,"Restauración y Conservación de Bienes patrimoniales")</f>
        <v>0</v>
      </c>
      <c r="AB225" s="5">
        <f>COUNTIFS(  A4:A1440,"2022", D4:D1440,"Restauración y Conservación de Bienes patrimoniales")</f>
        <v>0</v>
      </c>
      <c r="AC225" s="19">
        <f>COUNTIFS(   N4:N1440,"2018", D4:D1440,"Restauración y Conservación de Bienes patrimoniales")</f>
        <v>0</v>
      </c>
      <c r="AD225" s="5">
        <f>COUNTIFS(   N4:N1440,"2019", D4:D1440,"Restauración y Conservación de Bienes patrimoniales")</f>
        <v>3</v>
      </c>
      <c r="AE225" s="5">
        <f>COUNTIFS(   N4:N1440,"2020", D4:D1440,"Restauración y Conservación de Bienes patrimoniales")</f>
        <v>1</v>
      </c>
      <c r="AF225" s="5">
        <f>COUNTIFS(   N4:N1440,"2021", D4:D1440,"Restauración y Conservación de Bienes patrimoniales")</f>
        <v>0</v>
      </c>
      <c r="AG225" s="5">
        <f>COUNTIFS(   N4:N1440,"2022", D4:D1440,"Restauración y Conservación de Bienes patrimoniales")</f>
        <v>0</v>
      </c>
      <c r="AH225" s="5">
        <f>COUNTIFS(   D4:D1440,"Restauración y Conservación de Bienes patrimoniales",G4:G1440,"Sí")</f>
        <v>0</v>
      </c>
      <c r="AI225" s="5">
        <f>COUNTIFS(   D4:D1440,"Restauración y Conservación de Bienes patrimoniales",G4:G1440,"No")</f>
        <v>4</v>
      </c>
      <c r="AJ225" s="5">
        <f>SUMIFS( E4:E1440, D4:D1440,"Restauración y Conservación de Bienes patrimoniales",G4:G1440,"Sí")</f>
        <v>0</v>
      </c>
      <c r="AK225" s="5">
        <f>SUMIFS( E4:E1440, D4:D1440,"Restauración y Conservación de Bienes patrimoniales",G4:G1440,"No")</f>
        <v>6</v>
      </c>
      <c r="AL225" s="5">
        <f>COUNTIFS(   D4:D1440,"Restauración y Conservación de Bienes patrimoniales",H4:H1440,"Sí")</f>
        <v>2</v>
      </c>
      <c r="AM225" s="5">
        <f>COUNTIFS(   D4:D1440,"Restauración y Conservación de Bienes patrimoniales",I4:I1440,"Sí")</f>
        <v>1</v>
      </c>
      <c r="AN225" s="5">
        <f>COUNTIFS(   D4:D1440,"Restauración y Conservación de Bienes patrimoniales",I4:I1440,"No")</f>
        <v>3</v>
      </c>
      <c r="AO225" s="5">
        <f>SUMIFS( E4:E1440, D4:D1440,"Restauración y Conservación de Bienes patrimoniales",I4:I1440,"Sí")</f>
        <v>4</v>
      </c>
      <c r="AP225" s="5">
        <f>SUMIFS( E4:E1440, D4:D1440,"Restauración y Conservación de Bienes patrimoniales",I4:I1440,"No")</f>
        <v>2</v>
      </c>
      <c r="AQ225" s="5">
        <f>COUNTIFS(   D4:D1440,"Restauración y Conservación de Bienes patrimoniales",J4:J1440,"Sí")</f>
        <v>4</v>
      </c>
      <c r="AR225" s="5">
        <f>COUNTIFS(   D4:D1440,"Restauración y Conservación de Bienes patrimoniales",K4:K1440,"Sí")</f>
        <v>3</v>
      </c>
      <c r="AS225" s="5">
        <f>COUNTIFS(   D4:D1440,"Restauración y Conservación de Bienes patrimoniales",L4:L1440,"Sí")</f>
        <v>0</v>
      </c>
      <c r="AT225" s="5">
        <f>SUMIFS( E4:E1440, D4:D1440,"Restauración y Conservación de Bienes patrimoniales")</f>
        <v>6</v>
      </c>
      <c r="AU225" s="5">
        <f>SUMIFS( E4:E1440, F4:F1440,"Hombre", D4:D1440,"Restauración y Conservación de Bienes patrimoniales")</f>
        <v>0</v>
      </c>
      <c r="AV225" s="5">
        <f>SUMIFS( E4:E1440, F4:F1440,"Mujer", D4:D1440,"Restauración y Conservación de Bienes patrimoniales")</f>
        <v>6</v>
      </c>
      <c r="AW225" s="19">
        <f>SUMIFS( E4:E1440, A4:A1440,"2018", D4:D1440,"Restauración y Conservación de Bienes patrimoniales")</f>
        <v>0</v>
      </c>
      <c r="AX225" s="5">
        <f>SUMIFS( E4:E1440, A4:A1440,"2019", D4:D1440,"Restauración y Conservación de Bienes patrimoniales")</f>
        <v>6</v>
      </c>
      <c r="AY225" s="5">
        <f>SUMIFS( E4:E1440, A4:A1440,"2020", D4:D1440,"Restauración y Conservación de Bienes patrimoniales")</f>
        <v>0</v>
      </c>
      <c r="AZ225" s="5">
        <f>SUMIFS( E4:E1440, A4:A1440,"2021", D4:D1440,"Restauración y Conservación de Bienes patrimoniales")</f>
        <v>0</v>
      </c>
      <c r="BA225" s="5">
        <f>SUMIFS( E4:E1440, A4:A1440,"2022", D4:D1440,"Restauración y Conservación de Bienes patrimoniales")</f>
        <v>0</v>
      </c>
      <c r="BB225" s="19">
        <f>SUMIFS( E4:E1440, N4:N1440,"2018", D4:D1440,"Restauración y Conservación de Bienes patrimoniales")</f>
        <v>0</v>
      </c>
      <c r="BC225" s="5">
        <f>SUMIFS( E4:E1440, N4:N1440,"2019", D4:D1440,"Restauración y Conservación de Bienes patrimoniales")</f>
        <v>6</v>
      </c>
      <c r="BD225" s="5">
        <f>SUMIFS( E4:E1440, N4:N1440,"2020", D4:D1440,"Restauración y Conservación de Bienes patrimoniales")</f>
        <v>0</v>
      </c>
      <c r="BE225" s="5">
        <f>SUMIFS( E4:E1440, N4:N1440,"2021", D4:D1440,"Restauración y Conservación de Bienes patrimoniales")</f>
        <v>0</v>
      </c>
      <c r="BF225" s="5">
        <f>SUMIFS( E4:E1440, N4:N1440,"2022", D4:D1440,"Restauración y Conservación de Bienes patrimoniales")</f>
        <v>0</v>
      </c>
      <c r="BG225" s="14">
        <f>AVERAGEIFS( E4:E1440, D4:D1440,"Restauración y Conservación de Bienes patrimoniales")</f>
        <v>3</v>
      </c>
      <c r="BH225" s="14">
        <v>0</v>
      </c>
      <c r="BI225" s="14">
        <v>0</v>
      </c>
      <c r="BJ225" s="14">
        <v>0</v>
      </c>
      <c r="BK225" s="14" t="e">
        <f>AVERAGEIFS( E4:E1440, A4:A1440,"2021", D4:D1440,"Restauración y Conservación de Bienes patrimoniales")</f>
        <v>#DIV/0!</v>
      </c>
      <c r="BL225" s="37">
        <v>0</v>
      </c>
      <c r="BM225" s="14">
        <v>1</v>
      </c>
      <c r="BN225" s="14">
        <v>0</v>
      </c>
      <c r="BO225" s="14">
        <v>0</v>
      </c>
      <c r="BP225" s="14">
        <v>0</v>
      </c>
      <c r="BQ225" s="14">
        <v>1</v>
      </c>
      <c r="BR225" s="14">
        <v>0</v>
      </c>
    </row>
    <row r="226" spans="1:70" ht="15" customHeight="1">
      <c r="A226" s="24">
        <v>2018</v>
      </c>
      <c r="B226" s="24" t="s">
        <v>136</v>
      </c>
      <c r="C226" s="24" t="s">
        <v>152</v>
      </c>
      <c r="D226" s="24" t="s">
        <v>153</v>
      </c>
      <c r="E226" s="28">
        <v>7</v>
      </c>
      <c r="F226" s="24" t="s">
        <v>207</v>
      </c>
      <c r="G226" s="24" t="s">
        <v>225</v>
      </c>
      <c r="H226" s="23" t="s">
        <v>225</v>
      </c>
      <c r="I226" s="24" t="s">
        <v>225</v>
      </c>
      <c r="J226" s="23" t="s">
        <v>226</v>
      </c>
      <c r="K226" s="24" t="s">
        <v>225</v>
      </c>
      <c r="L226" s="23"/>
      <c r="M226" s="26" t="s">
        <v>333</v>
      </c>
      <c r="N226" s="24">
        <v>2019</v>
      </c>
      <c r="O226" s="48" t="s">
        <v>464</v>
      </c>
      <c r="P226" s="49"/>
      <c r="Q226" s="49"/>
      <c r="R226" s="49"/>
      <c r="S226" s="49"/>
      <c r="T226" s="50"/>
      <c r="U226" s="5">
        <f>COUNTIFS(   D5:D1441,"Salud, enfermedad, ciencia y cultura")</f>
        <v>5</v>
      </c>
      <c r="V226" s="5">
        <f>COUNTIFS(   D5:D1441,"Salud, enfermedad, ciencia y cultura",F5:F1441,"Hombre")</f>
        <v>3</v>
      </c>
      <c r="W226" s="5">
        <f>COUNTIFS(   D5:D1441,"Salud, enfermedad, ciencia y cultura",F5:F1441,"Mujer")</f>
        <v>2</v>
      </c>
      <c r="X226" s="19">
        <f>COUNTIFS(   A5:A1441,"2018", D5:D1441,"Salud, enfermedad, ciencia y cultura")</f>
        <v>0</v>
      </c>
      <c r="Y226" s="5">
        <f>COUNTIFS(   A5:A1441,"2019", D5:D1441,"Salud, enfermedad, ciencia y cultura")</f>
        <v>2</v>
      </c>
      <c r="Z226" s="5">
        <f>COUNTIFS(   A5:A1441,"2020", D5:D1441,"Salud, enfermedad, ciencia y cultura")</f>
        <v>1</v>
      </c>
      <c r="AA226" s="5">
        <f>COUNTIFS(   A5:A1441,"2021", D5:D1441,"Salud, enfermedad, ciencia y cultura")</f>
        <v>2</v>
      </c>
      <c r="AB226" s="5">
        <f>COUNTIFS(  A5:A1441,"2022", D5:D1441,"Salud, enfermedad, ciencia y cultura")</f>
        <v>0</v>
      </c>
      <c r="AC226" s="19">
        <f>COUNTIFS(   N5:N1441,"2018", D5:D1441,"Salud, enfermedad, ciencia y cultura")</f>
        <v>0</v>
      </c>
      <c r="AD226" s="5">
        <f>COUNTIFS(   N5:N1441,"2019", D5:D1441,"Salud, enfermedad, ciencia y cultura")</f>
        <v>0</v>
      </c>
      <c r="AE226" s="5">
        <f>COUNTIFS(   N5:N1441,"2020", D5:D1441,"Salud, enfermedad, ciencia y cultura")</f>
        <v>2</v>
      </c>
      <c r="AF226" s="5">
        <f>COUNTIFS(   N5:N1441,"2021", D5:D1441,"Salud, enfermedad, ciencia y cultura")</f>
        <v>1</v>
      </c>
      <c r="AG226" s="5">
        <f>COUNTIFS(   N5:N1441,"2022", D5:D1441,"Salud, enfermedad, ciencia y cultura")</f>
        <v>2</v>
      </c>
      <c r="AH226" s="5">
        <f>COUNTIFS(   D5:D1441,"Salud, enfermedad, ciencia y cultura",G5:G1441,"Sí")</f>
        <v>0</v>
      </c>
      <c r="AI226" s="5">
        <f>COUNTIFS(   D5:D1441,"Salud, enfermedad, ciencia y cultura",G5:G1441,"No")</f>
        <v>5</v>
      </c>
      <c r="AJ226" s="5">
        <f>SUMIFS( E5:E1441, D5:D1441,"Salud, enfermedad, ciencia y cultura",G5:G1441,"Sí")</f>
        <v>0</v>
      </c>
      <c r="AK226" s="5">
        <f>SUMIFS( E5:E1441, D5:D1441,"Salud, enfermedad, ciencia y cultura",G5:G1441,"No")</f>
        <v>23</v>
      </c>
      <c r="AL226" s="5">
        <f>COUNTIFS(   D5:D1441,"Salud, enfermedad, ciencia y cultura",H5:H1441,"Sí")</f>
        <v>5</v>
      </c>
      <c r="AM226" s="5">
        <f>COUNTIFS(   D5:D1441,"Salud, enfermedad, ciencia y cultura",I5:I1441,"Sí")</f>
        <v>3</v>
      </c>
      <c r="AN226" s="5">
        <f>COUNTIFS(   D5:D1441,"Salud, enfermedad, ciencia y cultura",I5:I1441,"No")</f>
        <v>2</v>
      </c>
      <c r="AO226" s="5">
        <f>SUMIFS( E5:E1441, D5:D1441,"Salud, enfermedad, ciencia y cultura",I5:I1441,"Sí")</f>
        <v>21</v>
      </c>
      <c r="AP226" s="5">
        <f>SUMIFS( E5:E1441, D5:D1441,"Salud, enfermedad, ciencia y cultura",I5:I1441,"No")</f>
        <v>2</v>
      </c>
      <c r="AQ226" s="5">
        <f>COUNTIFS(   D5:D1441,"Salud, enfermedad, ciencia y cultura",J5:J1441,"Sí")</f>
        <v>5</v>
      </c>
      <c r="AR226" s="5">
        <f>COUNTIFS(   D5:D1441,"Salud, enfermedad, ciencia y cultura",K5:K1441,"Sí")</f>
        <v>0</v>
      </c>
      <c r="AS226" s="5">
        <f>COUNTIFS(   D5:D1441,"Salud, enfermedad, ciencia y cultura",L5:L1441,"Sí")</f>
        <v>0</v>
      </c>
      <c r="AT226" s="5">
        <f>SUMIFS( E5:E1441, D5:D1441,"Salud, enfermedad, ciencia y cultura")</f>
        <v>23</v>
      </c>
      <c r="AU226" s="5">
        <f>SUMIFS( E5:E1441, F5:F1441,"Hombre", D5:D1441,"Salud, enfermedad, ciencia y cultura")</f>
        <v>20</v>
      </c>
      <c r="AV226" s="5">
        <f>SUMIFS( E5:E1441, F5:F1441,"Mujer", D5:D1441,"Salud, enfermedad, ciencia y cultura")</f>
        <v>3</v>
      </c>
      <c r="AW226" s="19">
        <f>SUMIFS( E5:E1441, A5:A1441,"2018", D5:D1441,"Salud, enfermedad, ciencia y cultura")</f>
        <v>0</v>
      </c>
      <c r="AX226" s="5">
        <f>SUMIFS( E5:E1441, A5:A1441,"2019", D5:D1441,"Salud, enfermedad, ciencia y cultura")</f>
        <v>3</v>
      </c>
      <c r="AY226" s="5">
        <f>SUMIFS( E5:E1441, A5:A1441,"2020", D5:D1441,"Salud, enfermedad, ciencia y cultura")</f>
        <v>1</v>
      </c>
      <c r="AZ226" s="5">
        <f>SUMIFS( E5:E1441, A5:A1441,"2021", D5:D1441,"Salud, enfermedad, ciencia y cultura")</f>
        <v>19</v>
      </c>
      <c r="BA226" s="5">
        <f>SUMIFS( E5:E1441, A5:A1441,"2022", D5:D1441,"Salud, enfermedad, ciencia y cultura")</f>
        <v>0</v>
      </c>
      <c r="BB226" s="19">
        <f>SUMIFS( E5:E1441, N5:N1441,"2018", D5:D1441,"Salud, enfermedad, ciencia y cultura")</f>
        <v>0</v>
      </c>
      <c r="BC226" s="5">
        <f>SUMIFS( E5:E1441, N5:N1441,"2019", D5:D1441,"Salud, enfermedad, ciencia y cultura")</f>
        <v>0</v>
      </c>
      <c r="BD226" s="5">
        <f>SUMIFS( E5:E1441, N5:N1441,"2020", D5:D1441,"Salud, enfermedad, ciencia y cultura")</f>
        <v>3</v>
      </c>
      <c r="BE226" s="5">
        <f>SUMIFS( E5:E1441, N5:N1441,"2021", D5:D1441,"Salud, enfermedad, ciencia y cultura")</f>
        <v>1</v>
      </c>
      <c r="BF226" s="5">
        <f>SUMIFS( E5:E1441, N5:N1441,"2022", D5:D1441,"Salud, enfermedad, ciencia y cultura")</f>
        <v>19</v>
      </c>
      <c r="BG226" s="14">
        <f>AVERAGEIFS( E5:E1441, D5:D1441,"Salud, enfermedad, ciencia y cultura")</f>
        <v>4.5999999999999996</v>
      </c>
      <c r="BH226" s="14"/>
      <c r="BI226" s="14"/>
      <c r="BJ226" s="14"/>
      <c r="BK226" s="14"/>
      <c r="BL226" s="37"/>
      <c r="BM226" s="14"/>
      <c r="BN226" s="14"/>
      <c r="BO226" s="14"/>
      <c r="BP226" s="14"/>
      <c r="BQ226" s="14"/>
      <c r="BR226" s="14"/>
    </row>
    <row r="227" spans="1:70" ht="15" customHeight="1">
      <c r="A227" s="24">
        <v>2018</v>
      </c>
      <c r="B227" s="24" t="s">
        <v>136</v>
      </c>
      <c r="C227" s="24" t="s">
        <v>137</v>
      </c>
      <c r="D227" s="24"/>
      <c r="E227" s="23">
        <v>2</v>
      </c>
      <c r="F227" s="24" t="s">
        <v>211</v>
      </c>
      <c r="G227" s="24" t="s">
        <v>225</v>
      </c>
      <c r="H227" s="23" t="s">
        <v>226</v>
      </c>
      <c r="I227" s="24" t="s">
        <v>225</v>
      </c>
      <c r="J227" s="23" t="s">
        <v>226</v>
      </c>
      <c r="K227" s="24" t="s">
        <v>226</v>
      </c>
      <c r="L227" s="23"/>
      <c r="M227" s="26" t="s">
        <v>334</v>
      </c>
      <c r="N227" s="24">
        <v>2019</v>
      </c>
      <c r="O227" s="73" t="s">
        <v>183</v>
      </c>
      <c r="P227" s="68"/>
      <c r="Q227" s="68"/>
      <c r="R227" s="68"/>
      <c r="S227" s="68"/>
      <c r="T227" s="69"/>
      <c r="U227" s="5">
        <f>COUNTIFS(   D4:D1440,"Sociedades y Culturas Americanas")</f>
        <v>9</v>
      </c>
      <c r="V227" s="5">
        <f>COUNTIFS(   D4:D1440,"Sociedades y Culturas Americanas",F4:F1440,"Hombre")</f>
        <v>3</v>
      </c>
      <c r="W227" s="5">
        <f>COUNTIFS(   D4:D1440,"Sociedades y Culturas Americanas",F4:F1440,"Mujer")</f>
        <v>6</v>
      </c>
      <c r="X227" s="19">
        <f>COUNTIFS(   A4:A1440,"2018", D4:D1440,"Sociedades y Culturas Americanas")</f>
        <v>3</v>
      </c>
      <c r="Y227" s="5">
        <f>COUNTIFS(   A4:A1440,"2019", D4:D1440,"Sociedades y Culturas Americanas")</f>
        <v>3</v>
      </c>
      <c r="Z227" s="5">
        <f>COUNTIFS(   A4:A1440,"2020", D4:D1440,"Sociedades y Culturas Americanas")</f>
        <v>3</v>
      </c>
      <c r="AA227" s="5">
        <f>COUNTIFS(   A4:A1440,"2021", D4:D1440,"Sociedades y Culturas Americanas")</f>
        <v>0</v>
      </c>
      <c r="AB227" s="5">
        <f>COUNTIFS(  A4:A1440,"2022", D4:D1440,"Sociedades y Culturas Americanas")</f>
        <v>0</v>
      </c>
      <c r="AC227" s="19">
        <f>COUNTIFS(   N4:N1440,"2018", D4:D1440,"Sociedades y Culturas Americanas")</f>
        <v>2</v>
      </c>
      <c r="AD227" s="5">
        <f>COUNTIFS(   N4:N1440,"2019", D4:D1440,"Sociedades y Culturas Americanas")</f>
        <v>4</v>
      </c>
      <c r="AE227" s="5">
        <f>COUNTIFS(   N4:N1440,"2020", D4:D1440,"Sociedades y Culturas Americanas")</f>
        <v>1</v>
      </c>
      <c r="AF227" s="5">
        <f>COUNTIFS(   N4:N1440,"2021", D4:D1440,"Sociedades y Culturas Americanas")</f>
        <v>2</v>
      </c>
      <c r="AG227" s="5">
        <f>COUNTIFS(   N4:N1440,"2022", D4:D1440,"Sociedades y Culturas Americanas")</f>
        <v>0</v>
      </c>
      <c r="AH227" s="5">
        <f>COUNTIFS(   D4:D1440,"Sociedades y Culturas Americanas",G4:G1440,"Sí")</f>
        <v>0</v>
      </c>
      <c r="AI227" s="5">
        <f>COUNTIFS(   D4:D1440,"Sociedades y Culturas Americanas",G4:G1440,"No")</f>
        <v>9</v>
      </c>
      <c r="AJ227" s="5">
        <f>SUMIFS( E4:E1440, D4:D1440,"Sociedades y Culturas Americanas",G4:G1440,"Sí")</f>
        <v>0</v>
      </c>
      <c r="AK227" s="5">
        <f>SUMIFS( E4:E1440, D4:D1440,"Sociedades y Culturas Americanas",G4:G1440,"No")</f>
        <v>4</v>
      </c>
      <c r="AL227" s="5">
        <f>COUNTIFS(   D4:D1440,"Sociedades y Culturas Americanas",H4:H1440,"Sí")</f>
        <v>5</v>
      </c>
      <c r="AM227" s="5">
        <f>COUNTIFS(   D4:D1440,"Sociedades y Culturas Americanas",I4:I1440,"Sí")</f>
        <v>2</v>
      </c>
      <c r="AN227" s="5">
        <f>COUNTIFS(   D4:D1440,"Sociedades y Culturas Americanas",I4:I1440,"No")</f>
        <v>7</v>
      </c>
      <c r="AO227" s="5">
        <f>SUMIFS( E4:E1440, D4:D1440,"Sociedades y Culturas Americanas",I4:I1440,"Sí")</f>
        <v>3</v>
      </c>
      <c r="AP227" s="5">
        <f>SUMIFS( E4:E1440, D4:D1440,"Sociedades y Culturas Americanas",I4:I1440,"No")</f>
        <v>1</v>
      </c>
      <c r="AQ227" s="5">
        <f>COUNTIFS(   D4:D1440,"Sociedades y Culturas Americanas",J4:J1440,"Sí")</f>
        <v>9</v>
      </c>
      <c r="AR227" s="5">
        <f>COUNTIFS(   D4:D1440,"Sociedades y Culturas Americanas",K4:K1440,"Sí")</f>
        <v>5</v>
      </c>
      <c r="AS227" s="5">
        <f>COUNTIFS(   D4:D1440,"Sociedades y Culturas Americanas",L4:L1440,"Sí")</f>
        <v>0</v>
      </c>
      <c r="AT227" s="5">
        <f>SUMIFS( E4:E1440, D4:D1440,"Sociedades y Culturas Americanas")</f>
        <v>4</v>
      </c>
      <c r="AU227" s="5">
        <f>SUMIFS( E4:E1440, F4:F1440,"Hombre", D4:D1440,"Sociedades y Culturas Americanas")</f>
        <v>1</v>
      </c>
      <c r="AV227" s="5">
        <f>SUMIFS( E4:E1440, F4:F1440,"Mujer", D4:D1440,"Sociedades y Culturas Americanas")</f>
        <v>3</v>
      </c>
      <c r="AW227" s="19">
        <f>SUMIFS( E4:E1440, A4:A1440,"2018", D4:D1440,"Sociedades y Culturas Americanas")</f>
        <v>2</v>
      </c>
      <c r="AX227" s="5">
        <f>SUMIFS( E4:E1440, A4:A1440,"2019", D4:D1440,"Sociedades y Culturas Americanas")</f>
        <v>1</v>
      </c>
      <c r="AY227" s="5">
        <f>SUMIFS( E4:E1440, A4:A1440,"2020", D4:D1440,"Sociedades y Culturas Americanas")</f>
        <v>1</v>
      </c>
      <c r="AZ227" s="5">
        <f>SUMIFS( E4:E1440, A4:A1440,"2021", D4:D1440,"Sociedades y Culturas Americanas")</f>
        <v>0</v>
      </c>
      <c r="BA227" s="5">
        <f>SUMIFS( E4:E1440, A4:A1440,"2022", D4:D1440,"Sociedades y Culturas Americanas")</f>
        <v>0</v>
      </c>
      <c r="BB227" s="19">
        <f>SUMIFS( E4:E1440, N4:N1440,"2018", D4:D1440,"Sociedades y Culturas Americanas")</f>
        <v>0</v>
      </c>
      <c r="BC227" s="5">
        <f>SUMIFS( E4:E1440, N4:N1440,"2019", D4:D1440,"Sociedades y Culturas Americanas")</f>
        <v>3</v>
      </c>
      <c r="BD227" s="5">
        <f>SUMIFS( E4:E1440, N4:N1440,"2020", D4:D1440,"Sociedades y Culturas Americanas")</f>
        <v>1</v>
      </c>
      <c r="BE227" s="5">
        <f>SUMIFS( E4:E1440, N4:N1440,"2021", D4:D1440,"Sociedades y Culturas Americanas")</f>
        <v>0</v>
      </c>
      <c r="BF227" s="5">
        <f>SUMIFS( E4:E1440, N4:N1440,"2022", D4:D1440,"Sociedades y Culturas Americanas")</f>
        <v>0</v>
      </c>
      <c r="BG227" s="14">
        <f>AVERAGEIFS( E4:E1440, D4:D1440,"Sociedades y Culturas Americanas")</f>
        <v>1.3333333333333333</v>
      </c>
      <c r="BH227" s="14">
        <v>0</v>
      </c>
      <c r="BI227" s="14">
        <v>0</v>
      </c>
      <c r="BJ227" s="14">
        <v>0</v>
      </c>
      <c r="BK227" s="14" t="e">
        <f>AVERAGEIFS( E4:E1440, A4:A1440,"2021", D4:D1440,"Sociedades y Culturas Americanas")</f>
        <v>#DIV/0!</v>
      </c>
      <c r="BL227" s="37" t="e">
        <f>AVERAGEIFS( E4:E1440, A4:A1440,"2022", D4:D1440,"Sociedades y Culturas Americanas")</f>
        <v>#DIV/0!</v>
      </c>
      <c r="BM227" s="14">
        <v>0.83333333333333337</v>
      </c>
      <c r="BN227" s="14">
        <v>0</v>
      </c>
      <c r="BO227" s="14">
        <v>0</v>
      </c>
      <c r="BP227" s="14">
        <v>0</v>
      </c>
      <c r="BQ227" s="14">
        <v>1</v>
      </c>
      <c r="BR227" s="14">
        <v>0.75</v>
      </c>
    </row>
    <row r="228" spans="1:70" ht="15" customHeight="1">
      <c r="A228" s="24">
        <v>2018</v>
      </c>
      <c r="B228" s="24" t="s">
        <v>78</v>
      </c>
      <c r="C228" s="24" t="s">
        <v>122</v>
      </c>
      <c r="D228" s="24"/>
      <c r="E228" s="23"/>
      <c r="F228" s="24" t="s">
        <v>211</v>
      </c>
      <c r="G228" s="24" t="s">
        <v>225</v>
      </c>
      <c r="H228" s="23" t="s">
        <v>225</v>
      </c>
      <c r="I228" s="24" t="s">
        <v>225</v>
      </c>
      <c r="J228" s="23" t="s">
        <v>226</v>
      </c>
      <c r="K228" s="24" t="s">
        <v>226</v>
      </c>
      <c r="L228" s="23"/>
      <c r="M228" s="26" t="s">
        <v>335</v>
      </c>
      <c r="N228" s="24">
        <v>2019</v>
      </c>
      <c r="O228" s="73" t="s">
        <v>182</v>
      </c>
      <c r="P228" s="68"/>
      <c r="Q228" s="68"/>
      <c r="R228" s="68"/>
      <c r="S228" s="68"/>
      <c r="T228" s="69"/>
      <c r="U228" s="5">
        <f>COUNTIFS(   D4:D1440,"Territorio, Patrimonio y Medio Ambiente")</f>
        <v>7</v>
      </c>
      <c r="V228" s="5">
        <f>COUNTIFS(   D4:D1440,"Territorio, Patrimonio y Medio Ambiente",F4:F1440,"Hombre")</f>
        <v>5</v>
      </c>
      <c r="W228" s="5">
        <f>COUNTIFS(   D4:D1440,"Territorio, Patrimonio y Medio Ambiente",F4:F1440,"Mujer")</f>
        <v>2</v>
      </c>
      <c r="X228" s="19">
        <f>COUNTIFS(   A4:A1440,"2018", D4:D1440,"Territorio, Patrimonio y Medio Ambiente")</f>
        <v>5</v>
      </c>
      <c r="Y228" s="5">
        <f>COUNTIFS(   A4:A1440,"2019", D4:D1440,"Territorio, Patrimonio y Medio Ambiente")</f>
        <v>0</v>
      </c>
      <c r="Z228" s="5">
        <f>COUNTIFS(   A4:A1440,"2020", D4:D1440,"Territorio, Patrimonio y Medio Ambiente")</f>
        <v>2</v>
      </c>
      <c r="AA228" s="5">
        <f>COUNTIFS(   A4:A1440,"2021", D4:D1440,"Territorio, Patrimonio y Medio Ambiente")</f>
        <v>0</v>
      </c>
      <c r="AB228" s="5">
        <f>COUNTIFS(  A4:A1440,"2022", D4:D1440,"Territorio, Patrimonio y Medio Ambiente")</f>
        <v>0</v>
      </c>
      <c r="AC228" s="19">
        <f>COUNTIFS(   N4:N1440,"2018", D4:D1440,"Territorio, Patrimonio y Medio Ambiente")</f>
        <v>1</v>
      </c>
      <c r="AD228" s="5">
        <f>COUNTIFS(   N4:N1440,"2019", D4:D1440,"Territorio, Patrimonio y Medio Ambiente")</f>
        <v>4</v>
      </c>
      <c r="AE228" s="5">
        <f>COUNTIFS(   N4:N1440,"2020", D4:D1440,"Territorio, Patrimonio y Medio Ambiente")</f>
        <v>0</v>
      </c>
      <c r="AF228" s="5">
        <f>COUNTIFS(   N4:N1440,"2021", D4:D1440,"Territorio, Patrimonio y Medio Ambiente")</f>
        <v>2</v>
      </c>
      <c r="AG228" s="5">
        <f>COUNTIFS(   N4:N1440,"2022", D4:D1440,"Territorio, Patrimonio y Medio Ambiente")</f>
        <v>0</v>
      </c>
      <c r="AH228" s="5">
        <f>COUNTIFS(   D4:D1440,"Territorio, Patrimonio y Medio Ambiente",G4:G1440,"Sí")</f>
        <v>0</v>
      </c>
      <c r="AI228" s="5">
        <f>COUNTIFS(   D4:D1440,"Territorio, Patrimonio y Medio Ambiente",G4:G1440,"No")</f>
        <v>7</v>
      </c>
      <c r="AJ228" s="5">
        <f>SUMIFS( E4:E1440, D4:D1440,"Territorio, Patrimonio y Medio Ambiente",G4:G1440,"Sí")</f>
        <v>0</v>
      </c>
      <c r="AK228" s="5">
        <f>SUMIFS( E4:E1440, D4:D1440,"Territorio, Patrimonio y Medio Ambiente",G4:G1440,"No")</f>
        <v>24</v>
      </c>
      <c r="AL228" s="5">
        <f>COUNTIFS(   D4:D1440,"Territorio, Patrimonio y Medio Ambiente",H4:H1440,"Sí")</f>
        <v>3</v>
      </c>
      <c r="AM228" s="5">
        <f>COUNTIFS(   D4:D1440,"Territorio, Patrimonio y Medio Ambiente",I4:I1440,"Sí")</f>
        <v>1</v>
      </c>
      <c r="AN228" s="5">
        <f>COUNTIFS(   D4:D1440,"Territorio, Patrimonio y Medio Ambiente",I4:I1440,"No")</f>
        <v>6</v>
      </c>
      <c r="AO228" s="5">
        <f>SUMIFS( E4:E1440, D4:D1440,"Territorio, Patrimonio y Medio Ambiente",I4:I1440,"Sí")</f>
        <v>10</v>
      </c>
      <c r="AP228" s="5">
        <f>SUMIFS( E4:E1440, D4:D1440,"Territorio, Patrimonio y Medio Ambiente",I4:I1440,"No")</f>
        <v>14</v>
      </c>
      <c r="AQ228" s="5">
        <f>COUNTIFS(   D4:D1440,"Territorio, Patrimonio y Medio Ambiente",J4:J1440,"Sí")</f>
        <v>7</v>
      </c>
      <c r="AR228" s="5">
        <f>COUNTIFS(   D4:D1440,"Territorio, Patrimonio y Medio Ambiente",K4:K1440,"Sí")</f>
        <v>4</v>
      </c>
      <c r="AS228" s="5">
        <f>COUNTIFS(   D4:D1440,"Territorio, Patrimonio y Medio Ambiente",L4:L1440,"Sí")</f>
        <v>0</v>
      </c>
      <c r="AT228" s="5">
        <f>SUMIFS( E4:E1440, D4:D1440,"Territorio, Patrimonio y Medio Ambiente")</f>
        <v>24</v>
      </c>
      <c r="AU228" s="5">
        <f>SUMIFS( E4:E1440, F4:F1440,"Hombre", D4:D1440,"Territorio, Patrimonio y Medio Ambiente")</f>
        <v>22</v>
      </c>
      <c r="AV228" s="5">
        <f>SUMIFS( E4:E1440, F4:F1440,"Mujer", D4:D1440,"Territorio, Patrimonio y Medio Ambiente")</f>
        <v>2</v>
      </c>
      <c r="AW228" s="19">
        <f>SUMIFS( E4:E1440, A4:A1440,"2018", D4:D1440,"Territorio, Patrimonio y Medio Ambiente")</f>
        <v>10</v>
      </c>
      <c r="AX228" s="5">
        <f>SUMIFS( E4:E1440, A4:A1440,"2019", D4:D1440,"Territorio, Patrimonio y Medio Ambiente")</f>
        <v>0</v>
      </c>
      <c r="AY228" s="5">
        <f>SUMIFS( E4:E1440, A4:A1440,"2020", D4:D1440,"Territorio, Patrimonio y Medio Ambiente")</f>
        <v>14</v>
      </c>
      <c r="AZ228" s="5">
        <f>SUMIFS( E4:E1440, A4:A1440,"2021", D4:D1440,"Territorio, Patrimonio y Medio Ambiente")</f>
        <v>0</v>
      </c>
      <c r="BA228" s="5">
        <f>SUMIFS( E4:E1440, A4:A1440,"2022", D4:D1440,"Territorio, Patrimonio y Medio Ambiente")</f>
        <v>0</v>
      </c>
      <c r="BB228" s="19">
        <f>SUMIFS( E4:E1440, N4:N1440,"2018", D4:D1440,"Territorio, Patrimonio y Medio Ambiente")</f>
        <v>10</v>
      </c>
      <c r="BC228" s="5">
        <f>SUMIFS( E4:E1440, N4:N1440,"2019", D4:D1440,"Territorio, Patrimonio y Medio Ambiente")</f>
        <v>0</v>
      </c>
      <c r="BD228" s="5">
        <f>SUMIFS( E4:E1440, N4:N1440,"2020", D4:D1440,"Territorio, Patrimonio y Medio Ambiente")</f>
        <v>0</v>
      </c>
      <c r="BE228" s="5">
        <f>SUMIFS( E4:E1440, N4:N1440,"2021", D4:D1440,"Territorio, Patrimonio y Medio Ambiente")</f>
        <v>14</v>
      </c>
      <c r="BF228" s="5">
        <f>SUMIFS( E4:E1440, N4:N1440,"2022", D4:D1440,"Territorio, Patrimonio y Medio Ambiente")</f>
        <v>0</v>
      </c>
      <c r="BG228" s="14">
        <f>AVERAGEIFS( E4:E1440, D4:D1440,"Territorio, Patrimonio y Medio Ambiente")</f>
        <v>8</v>
      </c>
      <c r="BH228" s="14">
        <v>0</v>
      </c>
      <c r="BI228" s="14">
        <v>0</v>
      </c>
      <c r="BJ228" s="14">
        <v>0</v>
      </c>
      <c r="BK228" s="14" t="e">
        <f>AVERAGEIFS( E4:E1440, A4:A1440,"2021", D4:D1440,"Territorio, Patrimonio y Medio Ambiente")</f>
        <v>#DIV/0!</v>
      </c>
      <c r="BL228" s="37" t="e">
        <f>AVERAGEIFS( E4:E1440, A4:A1440,"2022", D4:D1440,"Territorio, Patrimonio y Medio Ambiente")</f>
        <v>#DIV/0!</v>
      </c>
      <c r="BM228" s="14">
        <v>4</v>
      </c>
      <c r="BN228" s="14">
        <v>0</v>
      </c>
      <c r="BO228" s="14">
        <v>0</v>
      </c>
      <c r="BP228" s="14">
        <v>0</v>
      </c>
      <c r="BQ228" s="14">
        <v>2</v>
      </c>
      <c r="BR228" s="14">
        <v>4.666666666666667</v>
      </c>
    </row>
    <row r="229" spans="1:70" ht="15" customHeight="1">
      <c r="A229" s="24">
        <v>2018</v>
      </c>
      <c r="B229" s="24" t="s">
        <v>4</v>
      </c>
      <c r="C229" s="24" t="s">
        <v>23</v>
      </c>
      <c r="D229" s="24" t="s">
        <v>26</v>
      </c>
      <c r="E229" s="23"/>
      <c r="F229" s="24" t="s">
        <v>211</v>
      </c>
      <c r="G229" s="24" t="s">
        <v>225</v>
      </c>
      <c r="H229" s="23" t="s">
        <v>225</v>
      </c>
      <c r="I229" s="24" t="s">
        <v>226</v>
      </c>
      <c r="J229" s="23" t="s">
        <v>226</v>
      </c>
      <c r="K229" s="24" t="s">
        <v>226</v>
      </c>
      <c r="L229" s="23"/>
      <c r="M229" s="26" t="s">
        <v>335</v>
      </c>
      <c r="N229" s="24">
        <v>2019</v>
      </c>
      <c r="O229" s="40" t="s">
        <v>77</v>
      </c>
      <c r="P229" s="43"/>
      <c r="Q229" s="43"/>
      <c r="R229" s="43"/>
      <c r="S229" s="43"/>
      <c r="T229" s="44"/>
      <c r="U229" s="4">
        <f>COUNTIFS(   C4:C1440,"Lenguas, Textos y Contextos")</f>
        <v>70</v>
      </c>
      <c r="V229" s="4">
        <f>COUNTIFS(   C4:C1440,"Lenguas, Textos y Contextos",F4:F1440,"Hombre")</f>
        <v>29</v>
      </c>
      <c r="W229" s="4">
        <f>COUNTIFS(   C4:C1440,"Lenguas, Textos y Contextos",F4:F1440,"Mujer")</f>
        <v>41</v>
      </c>
      <c r="X229" s="18">
        <f>COUNTIFS(   A4:A1440,"2018", C4:C1440,"Lenguas, Textos y Contextos")</f>
        <v>17</v>
      </c>
      <c r="Y229" s="4">
        <f>COUNTIFS(   A4:A1440,"2019", C4:C1440,"Lenguas, Textos y Contextos")</f>
        <v>19</v>
      </c>
      <c r="Z229" s="4">
        <f>COUNTIFS(   A4:A1440,"2020", C4:C1440,"Lenguas, Textos y Contextos")</f>
        <v>18</v>
      </c>
      <c r="AA229" s="4">
        <f>COUNTIFS(   A4:A1440,"2021", C4:C1440,"Lenguas, Textos y Contextos")</f>
        <v>16</v>
      </c>
      <c r="AB229" s="4">
        <f>COUNTIFS(   A4:A1440,"2022", C4:C1440,"Lenguas, Textos y Contextos")</f>
        <v>0</v>
      </c>
      <c r="AC229" s="18">
        <f>COUNTIFS(   N4:N1440,"2018", C4:C1440,"Lenguas, Textos y Contextos")</f>
        <v>7</v>
      </c>
      <c r="AD229" s="4">
        <f>COUNTIFS(   N4:N1440,"2019", C4:C1440,"Lenguas, Textos y Contextos")</f>
        <v>17</v>
      </c>
      <c r="AE229" s="4">
        <f>COUNTIFS(   N4:N1440,"2020", C4:C1440,"Lenguas, Textos y Contextos")</f>
        <v>21</v>
      </c>
      <c r="AF229" s="4">
        <f>COUNTIFS(   N4:N1440,"2021", C4:C1440,"Lenguas, Textos y Contextos")</f>
        <v>17</v>
      </c>
      <c r="AG229" s="4">
        <f>COUNTIFS(   N4:N1440,"2022", C4:C1440,"Lenguas, Textos y Contextos")</f>
        <v>8</v>
      </c>
      <c r="AH229" s="4">
        <f>COUNTIFS(   C4:C1440,"Lenguas, Textos y Contextos",G4:G1440,"Sí")</f>
        <v>5</v>
      </c>
      <c r="AI229" s="4">
        <f>COUNTIFS(   C4:C1440,"Lenguas, Textos y Contextos",G4:G1440,"No")</f>
        <v>65</v>
      </c>
      <c r="AJ229" s="4">
        <f>SUMIFS( E4:E1440, C4:C1440,"Lenguas, Textos y Contextos",G4:G1440,"Sí")</f>
        <v>11</v>
      </c>
      <c r="AK229" s="4">
        <f>SUMIFS( E4:E1440, C4:C1440,"Lenguas, Textos y Contextos",G4:G1440,"No")</f>
        <v>214</v>
      </c>
      <c r="AL229" s="4">
        <f>COUNTIFS(   C4:C1440,"Lenguas, Textos y Contextos",H4:H1440,"Sí")</f>
        <v>47</v>
      </c>
      <c r="AM229" s="4">
        <f>COUNTIFS(   C4:C1440,"Lenguas, Textos y Contextos",I4:I1440,"Sí")</f>
        <v>37</v>
      </c>
      <c r="AN229" s="4">
        <f>COUNTIFS(   C4:C1440,"Lenguas, Textos y Contextos",I4:I1440,"No")</f>
        <v>33</v>
      </c>
      <c r="AO229" s="4">
        <f>SUMIFS( E4:E1440, C4:C1440,"Lenguas, Textos y Contextos",I4:I1440,"Sí")</f>
        <v>87</v>
      </c>
      <c r="AP229" s="4">
        <f>SUMIFS( E4:E1440, C4:C1440,"Lenguas, Textos y Contextos",I4:I1440,"No")</f>
        <v>138</v>
      </c>
      <c r="AQ229" s="4">
        <f>COUNTIFS(   C4:C1440,"Lenguas, Textos y Contextos",J4:J1440,"Sí")</f>
        <v>70</v>
      </c>
      <c r="AR229" s="4">
        <f>COUNTIFS(   C4:C1440,"Lenguas, Textos y Contextos",K4:K1440,"Sí")</f>
        <v>23</v>
      </c>
      <c r="AS229" s="4">
        <f>COUNTIFS(   C4:C1440,"Lenguas, Textos y Contextos",L4:L1440,"Sí")</f>
        <v>0</v>
      </c>
      <c r="AT229" s="4">
        <f>SUMIFS( E4:E1440, C4:C1440,"Lenguas, Textos y Contextos")</f>
        <v>225</v>
      </c>
      <c r="AU229" s="4">
        <f>SUMIFS( E4:E1440, F4:F1440,"Hombre", C4:C1440,"Lenguas, Textos y Contextos")</f>
        <v>68</v>
      </c>
      <c r="AV229" s="4">
        <f>SUMIFS( E4:E1440, F4:F1440,"Mujer", C4:C1440,"Lenguas, Textos y Contextos")</f>
        <v>157</v>
      </c>
      <c r="AW229" s="18">
        <f>SUMIFS( E4:E1440, A4:A1440,"2018", C4:C1440,"Lenguas, Textos y Contextos")</f>
        <v>35</v>
      </c>
      <c r="AX229" s="4">
        <f>SUMIFS( E4:E1440, A4:A1440,"2019", C4:C1440,"Lenguas, Textos y Contextos")</f>
        <v>109</v>
      </c>
      <c r="AY229" s="4">
        <f>SUMIFS( E4:E1440, A4:A1440,"2020", C4:C1440,"Lenguas, Textos y Contextos")</f>
        <v>26</v>
      </c>
      <c r="AZ229" s="4">
        <f>SUMIFS( E4:E1440, A4:A1440,"2021", C4:C1440,"Lenguas, Textos y Contextos")</f>
        <v>55</v>
      </c>
      <c r="BA229" s="4">
        <f>SUMIFS( E4:E1440, A4:A1440,"2022", C4:C1440,"Lenguas, Textos y Contextos")</f>
        <v>0</v>
      </c>
      <c r="BB229" s="18">
        <f>SUMIFS( E4:E1440, N4:N1440,"2018", C4:C1440,"Lenguas, Textos y Contextos")</f>
        <v>16</v>
      </c>
      <c r="BC229" s="4">
        <f>SUMIFS( E4:E1440, N4:N1440,"2019", C4:C1440,"Lenguas, Textos y Contextos")</f>
        <v>52</v>
      </c>
      <c r="BD229" s="4">
        <f>SUMIFS( E4:E1440, N4:N1440,"2020", C4:C1440,"Lenguas, Textos y Contextos")</f>
        <v>84</v>
      </c>
      <c r="BE229" s="4">
        <f>SUMIFS( E4:E1440, N4:N1440,"2021", C4:C1440,"Lenguas, Textos y Contextos")</f>
        <v>21</v>
      </c>
      <c r="BF229" s="4">
        <f>SUMIFS( E4:E1440, N4:N1440,"2022", C4:C1440,"Lenguas, Textos y Contextos")</f>
        <v>52</v>
      </c>
      <c r="BG229" s="13">
        <f>AVERAGEIFS( E4:E1440, C4:C1440,"Lenguas, Textos y Contextos")</f>
        <v>4.6875</v>
      </c>
      <c r="BH229" s="13">
        <v>0</v>
      </c>
      <c r="BI229" s="13">
        <v>0</v>
      </c>
      <c r="BJ229" s="13">
        <f>AVERAGEIFS( E4:E1440, A4:A1440,"2020", C4:C1440,"Lenguas, Textos y Contextos")</f>
        <v>2.3636363636363638</v>
      </c>
      <c r="BK229" s="13">
        <f>AVERAGEIFS( E4:E1440, A4:A1440,"2021", C4:C1440,"Lenguas, Textos y Contextos")</f>
        <v>6.1111111111111107</v>
      </c>
      <c r="BL229" s="37" t="e">
        <f>AVERAGEIFS( E4:E1440, A4:A1440,"2022", C4:C1440,"Lenguas, Textos y Contextos")</f>
        <v>#DIV/0!</v>
      </c>
      <c r="BM229" s="13">
        <f>AVERAGE(AT230:AT241)</f>
        <v>18.75</v>
      </c>
      <c r="BN229" s="13">
        <v>0</v>
      </c>
      <c r="BO229" s="13">
        <v>0</v>
      </c>
      <c r="BP229" s="13">
        <f>AVERAGE(AY230:AY241)</f>
        <v>2.0833333333333335</v>
      </c>
      <c r="BQ229" s="13">
        <f>AVERAGE(AZ230:AZ241)</f>
        <v>4.583333333333333</v>
      </c>
      <c r="BR229" s="13">
        <f t="shared" ref="BR229" si="1">AVERAGE(BA230:BA241)</f>
        <v>0</v>
      </c>
    </row>
    <row r="230" spans="1:70" ht="15" customHeight="1">
      <c r="A230" s="24">
        <v>2018</v>
      </c>
      <c r="B230" s="24" t="s">
        <v>136</v>
      </c>
      <c r="C230" s="24" t="s">
        <v>176</v>
      </c>
      <c r="D230" s="24" t="s">
        <v>177</v>
      </c>
      <c r="E230" s="23">
        <v>1</v>
      </c>
      <c r="F230" s="24" t="s">
        <v>211</v>
      </c>
      <c r="G230" s="24" t="s">
        <v>225</v>
      </c>
      <c r="H230" s="23" t="s">
        <v>226</v>
      </c>
      <c r="I230" s="24" t="s">
        <v>226</v>
      </c>
      <c r="J230" s="23" t="s">
        <v>226</v>
      </c>
      <c r="K230" s="24" t="s">
        <v>226</v>
      </c>
      <c r="L230" s="23"/>
      <c r="M230" s="26" t="s">
        <v>335</v>
      </c>
      <c r="N230" s="24">
        <v>2019</v>
      </c>
      <c r="O230" s="73" t="s">
        <v>196</v>
      </c>
      <c r="P230" s="68"/>
      <c r="Q230" s="68"/>
      <c r="R230" s="68"/>
      <c r="S230" s="68"/>
      <c r="T230" s="69"/>
      <c r="U230" s="5">
        <f>COUNTIFS(   D4:D1440,"Estudios árabes e islámicos")</f>
        <v>5</v>
      </c>
      <c r="V230" s="5">
        <f>COUNTIFS(   D4:D1440,"Estudios árabes e islámicos",F4:F1440,"Hombre")</f>
        <v>3</v>
      </c>
      <c r="W230" s="5">
        <f>COUNTIFS(   D4:D1440,"Estudios árabes e islámicos",F4:F1440,"Mujer")</f>
        <v>2</v>
      </c>
      <c r="X230" s="19">
        <f>COUNTIFS(   A4:A1440,"2018", D4:D1440,"Estudios árabes e islámicos")</f>
        <v>1</v>
      </c>
      <c r="Y230" s="5">
        <f>COUNTIFS(   A4:A1440,"2019", D4:D1440,"Estudios árabes e islámicos")</f>
        <v>1</v>
      </c>
      <c r="Z230" s="5">
        <f>COUNTIFS(   A4:A1440,"2020", D4:D1440,"Estudios árabes e islámicos")</f>
        <v>2</v>
      </c>
      <c r="AA230" s="5">
        <f>COUNTIFS(   A4:A1440,"2021", D4:D1440,"Estudios árabes e islámicos")</f>
        <v>1</v>
      </c>
      <c r="AB230" s="5">
        <f>COUNTIFS(  A4:A1440,"2022", D4:D1440,"Estudios árabes e islámicos")</f>
        <v>0</v>
      </c>
      <c r="AC230" s="19">
        <f>COUNTIFS(   N4:N1440,"2018", D4:D1440,"Estudios árabes e islámicos")</f>
        <v>0</v>
      </c>
      <c r="AD230" s="5">
        <f>COUNTIFS(   N4:N1440,"2019", D4:D1440,"Estudios árabes e islámicos")</f>
        <v>1</v>
      </c>
      <c r="AE230" s="5">
        <f>COUNTIFS(   N4:N1440,"2020", D4:D1440,"Estudios árabes e islámicos")</f>
        <v>2</v>
      </c>
      <c r="AF230" s="5">
        <f>COUNTIFS(   N4:N1440,"2021", D4:D1440,"Estudios árabes e islámicos")</f>
        <v>1</v>
      </c>
      <c r="AG230" s="5">
        <f>COUNTIFS(   N4:N1440,"2022", D4:D1440,"Estudios árabes e islámicos")</f>
        <v>1</v>
      </c>
      <c r="AH230" s="5">
        <f>COUNTIFS(   D4:D1440,"Estudios árabes e islámicos",G4:G1440,"Sí")</f>
        <v>1</v>
      </c>
      <c r="AI230" s="5">
        <f>COUNTIFS(   D4:D1440,"Estudios árabes e islámicos",G4:G1440,"No")</f>
        <v>4</v>
      </c>
      <c r="AJ230" s="5">
        <f>SUMIFS( E4:E1440, D4:D1440,"Estudios árabes e islámicos",G4:G1440,"Sí")</f>
        <v>3</v>
      </c>
      <c r="AK230" s="5">
        <f>SUMIFS( E4:E1440, D4:D1440,"Estudios árabes e islámicos",G4:G1440,"No")</f>
        <v>11</v>
      </c>
      <c r="AL230" s="5">
        <f>COUNTIFS(   D4:D1440,"Estudios árabes e islámicos",H4:H1440,"Sí")</f>
        <v>4</v>
      </c>
      <c r="AM230" s="5">
        <f>COUNTIFS(   D4:D1440,"Estudios árabes e islámicos",I4:I1440,"Sí")</f>
        <v>3</v>
      </c>
      <c r="AN230" s="5">
        <f>COUNTIFS(   D4:D1440,"Estudios árabes e islámicos",I4:I1440,"No")</f>
        <v>2</v>
      </c>
      <c r="AO230" s="5">
        <f>SUMIFS( E4:E1440, D4:D1440,"Estudios árabes e islámicos",I4:I1440,"Sí")</f>
        <v>7</v>
      </c>
      <c r="AP230" s="5">
        <f>SUMIFS( E4:E1440, D4:D1440,"Estudios árabes e islámicos",I4:I1440,"No")</f>
        <v>7</v>
      </c>
      <c r="AQ230" s="5">
        <f>COUNTIFS(   D4:D1440,"Estudios árabes e islámicos",J4:J1440,"Sí")</f>
        <v>5</v>
      </c>
      <c r="AR230" s="5">
        <f>COUNTIFS(   D4:D1440,"Estudios árabes e islámicos",K4:K1440,"Sí")</f>
        <v>1</v>
      </c>
      <c r="AS230" s="5">
        <f>COUNTIFS(   D4:D1440,"Estudios árabes e islámicos",L4:L1440,"Sí")</f>
        <v>0</v>
      </c>
      <c r="AT230" s="5">
        <f>SUMIFS( E4:E1440, D4:D1440,"Estudios árabes e islámicos")</f>
        <v>14</v>
      </c>
      <c r="AU230" s="5">
        <f>SUMIFS( E4:E1440, F4:F1440,"Hombre", D4:D1440,"Estudios árabes e islámicos")</f>
        <v>8</v>
      </c>
      <c r="AV230" s="5">
        <f>SUMIFS( E4:E1440, F4:F1440,"Mujer", D4:D1440,"Estudios árabes e islámicos")</f>
        <v>6</v>
      </c>
      <c r="AW230" s="19">
        <f>SUMIFS( E4:E1440, A4:A1440,"2018", D4:D1440,"Estudios árabes e islámicos")</f>
        <v>4</v>
      </c>
      <c r="AX230" s="5">
        <f>SUMIFS( E4:E1440, A4:A1440,"2019", D4:D1440,"Estudios árabes e islámicos")</f>
        <v>3</v>
      </c>
      <c r="AY230" s="5">
        <f>SUMIFS( E4:E1440, A4:A1440,"2020", D4:D1440,"Estudios árabes e islámicos")</f>
        <v>4</v>
      </c>
      <c r="AZ230" s="5">
        <f>SUMIFS( E4:E1440, A4:A1440,"2021", D4:D1440,"Estudios árabes e islámicos")</f>
        <v>3</v>
      </c>
      <c r="BA230" s="5">
        <f>SUMIFS( E4:E1440, A4:A1440,"2022", D4:D1440,"Estudios árabes e islámicos")</f>
        <v>0</v>
      </c>
      <c r="BB230" s="19">
        <f>SUMIFS( E4:E1440, N4:N1440,"2018", D4:D1440,"Estudios árabes e islámicos")</f>
        <v>0</v>
      </c>
      <c r="BC230" s="5">
        <f>SUMIFS( E4:E1440, N4:N1440,"2019", D4:D1440,"Estudios árabes e islámicos")</f>
        <v>4</v>
      </c>
      <c r="BD230" s="5">
        <f>SUMIFS( E4:E1440, N4:N1440,"2020", D4:D1440,"Estudios árabes e islámicos")</f>
        <v>3</v>
      </c>
      <c r="BE230" s="5">
        <f>SUMIFS( E4:E1440, N4:N1440,"2021", D4:D1440,"Estudios árabes e islámicos")</f>
        <v>4</v>
      </c>
      <c r="BF230" s="5">
        <f>SUMIFS( E4:E1440, N4:N1440,"2022", D4:D1440,"Estudios árabes e islámicos")</f>
        <v>3</v>
      </c>
      <c r="BG230" s="14">
        <f>AVERAGEIFS( E4:E1440, D4:D1440,"Estudios árabes e islámicos")</f>
        <v>3.5</v>
      </c>
      <c r="BH230" s="14">
        <v>0</v>
      </c>
      <c r="BI230" s="14">
        <v>0</v>
      </c>
      <c r="BJ230" s="14">
        <v>0</v>
      </c>
      <c r="BK230" s="14">
        <f>AVERAGEIFS( E4:E1440, A4:A1440,"2021", D4:D1440,"Estudios árabes e islámicos")</f>
        <v>3</v>
      </c>
      <c r="BL230" s="37">
        <v>0</v>
      </c>
      <c r="BM230" s="14">
        <v>1</v>
      </c>
      <c r="BN230" s="14">
        <v>0</v>
      </c>
      <c r="BO230" s="14">
        <v>0</v>
      </c>
      <c r="BP230" s="14">
        <v>0</v>
      </c>
      <c r="BQ230" s="14">
        <v>1</v>
      </c>
      <c r="BR230" s="14">
        <v>0</v>
      </c>
    </row>
    <row r="231" spans="1:70" ht="15" customHeight="1">
      <c r="A231" s="24">
        <v>2018</v>
      </c>
      <c r="B231" s="24" t="s">
        <v>4</v>
      </c>
      <c r="C231" s="24" t="s">
        <v>203</v>
      </c>
      <c r="D231" s="24" t="s">
        <v>42</v>
      </c>
      <c r="E231" s="23"/>
      <c r="F231" s="24" t="s">
        <v>207</v>
      </c>
      <c r="G231" s="24" t="s">
        <v>225</v>
      </c>
      <c r="H231" s="23" t="s">
        <v>225</v>
      </c>
      <c r="I231" s="24" t="s">
        <v>226</v>
      </c>
      <c r="J231" s="23" t="s">
        <v>226</v>
      </c>
      <c r="K231" s="24" t="s">
        <v>226</v>
      </c>
      <c r="L231" s="23"/>
      <c r="M231" s="26" t="s">
        <v>335</v>
      </c>
      <c r="N231" s="24">
        <v>2019</v>
      </c>
      <c r="O231" s="48" t="s">
        <v>264</v>
      </c>
      <c r="P231" s="49"/>
      <c r="Q231" s="49"/>
      <c r="R231" s="49"/>
      <c r="S231" s="49"/>
      <c r="T231" s="50"/>
      <c r="U231" s="5">
        <f>COUNTIFS(   D5:D1441,"Enseñanza de lenguas")</f>
        <v>2</v>
      </c>
      <c r="V231" s="5">
        <f>COUNTIFS(   D5:D1441,"Enseñanza de lenguas",F5:F1441,"Hombre")</f>
        <v>1</v>
      </c>
      <c r="W231" s="5">
        <f>COUNTIFS(   D5:D1441,"Enseñanza de lenguas",F5:F1441,"Mujer")</f>
        <v>1</v>
      </c>
      <c r="X231" s="19">
        <f>COUNTIFS(   A5:A1441,"2018", D5:D1441,"Enseñanza de lenguas")</f>
        <v>2</v>
      </c>
      <c r="Y231" s="5">
        <f>COUNTIFS(   A5:A1441,"2019", D5:D1441,"Enseñanza de lenguas")</f>
        <v>0</v>
      </c>
      <c r="Z231" s="5">
        <f>COUNTIFS(   A5:A1441,"2020", D5:D1441,"Enseñanza de lenguas")</f>
        <v>0</v>
      </c>
      <c r="AA231" s="5">
        <f>COUNTIFS(   A5:A1441,"2021", D5:D1441,"Enseñanza de lenguas")</f>
        <v>0</v>
      </c>
      <c r="AB231" s="5">
        <f>COUNTIFS(  A5:A1441,"2022", D5:D1441,"Enseñanza de lenguas")</f>
        <v>0</v>
      </c>
      <c r="AC231" s="19">
        <f>COUNTIFS(   N5:N1441,"2018", D5:D1441,"Enseñanza de lenguas")</f>
        <v>1</v>
      </c>
      <c r="AD231" s="5">
        <f>COUNTIFS(   N5:N1441,"2019", D5:D1441,"Enseñanza de lenguas")</f>
        <v>1</v>
      </c>
      <c r="AE231" s="5">
        <f>COUNTIFS(   N5:N1441,"2020", D5:D1441,"Enseñanza de lenguas")</f>
        <v>0</v>
      </c>
      <c r="AF231" s="5">
        <f>COUNTIFS(   N5:N1441,"2021", D5:D1441,"Enseñanza de lenguas")</f>
        <v>0</v>
      </c>
      <c r="AG231" s="5">
        <f>COUNTIFS(   N5:N1441,"2022", D5:D1441,"Enseñanza de lenguas")</f>
        <v>0</v>
      </c>
      <c r="AH231" s="5">
        <f>COUNTIFS(   D5:D1441,"Enseñanza de lenguas",G5:G1441,"Sí")</f>
        <v>0</v>
      </c>
      <c r="AI231" s="5">
        <f>COUNTIFS(   D5:D1441,"Enseñanza de lenguas",G5:G1441,"No")</f>
        <v>2</v>
      </c>
      <c r="AJ231" s="5">
        <f>SUMIFS( E5:E1441, D5:D1441,"EEnseñanza de lenguas",G5:G1441,"Sí")</f>
        <v>0</v>
      </c>
      <c r="AK231" s="5">
        <f>SUMIFS( E5:E1441, D5:D1441,"Enseñanza de lenguas",G5:G1441,"No")</f>
        <v>1</v>
      </c>
      <c r="AL231" s="5">
        <f>COUNTIFS(   D5:D1441,"Enseñanza de lenguas",H5:H1441,"Sí")</f>
        <v>1</v>
      </c>
      <c r="AM231" s="5">
        <f>COUNTIFS(   D5:D1441,"Enseñanza de lenguas",I5:I1441,"Sí")</f>
        <v>0</v>
      </c>
      <c r="AN231" s="5">
        <f>COUNTIFS(   D5:D1441,"Enseñanza de lenguas",I5:I1441,"No")</f>
        <v>2</v>
      </c>
      <c r="AO231" s="5">
        <f>SUMIFS( E5:E1441, D5:D1441,"Enseñanza de lenguas",I5:I1441,"Sí")</f>
        <v>0</v>
      </c>
      <c r="AP231" s="5">
        <f>SUMIFS( E5:E1441, D5:D1441,"Enseñanza de lenguas",I5:I1441,"No")</f>
        <v>1</v>
      </c>
      <c r="AQ231" s="5">
        <f>COUNTIFS(   D5:D1441,"Enseñanza de lenguas",J5:J1441,"Sí")</f>
        <v>2</v>
      </c>
      <c r="AR231" s="5">
        <f>COUNTIFS(   D5:D1441,"Enseñanza de lenguas",K5:K1441,"Sí")</f>
        <v>2</v>
      </c>
      <c r="AS231" s="5">
        <f>COUNTIFS(   D5:D1441,"Enseñanza de lenguas",L5:L1441,"Sí")</f>
        <v>0</v>
      </c>
      <c r="AT231" s="5">
        <f>SUMIFS( E5:E1441, D5:D1441,"Enseñanza de lenguas")</f>
        <v>1</v>
      </c>
      <c r="AU231" s="5">
        <f>SUMIFS( E5:E1441, F5:F1441,"Hombre", D5:D1441,"Enseñanza de lenguas")</f>
        <v>0</v>
      </c>
      <c r="AV231" s="5">
        <f>SUMIFS( E5:E1441, F5:F1441,"Mujer", D5:D1441,"Enseñanza de lenguas")</f>
        <v>1</v>
      </c>
      <c r="AW231" s="19">
        <f>SUMIFS( E5:E1441, A5:A1441,"2018", D5:D1441,"Enseñanza de lenguas")</f>
        <v>1</v>
      </c>
      <c r="AX231" s="5">
        <f>SUMIFS( E5:E1441, A5:A1441,"2019", D5:D1441,"Enseñanza de lenguas")</f>
        <v>0</v>
      </c>
      <c r="AY231" s="5">
        <f>SUMIFS( E5:E1441, A5:A1441,"2020", D5:D1441,"Enseñanza de lenguas")</f>
        <v>0</v>
      </c>
      <c r="AZ231" s="5">
        <f>SUMIFS( E5:E1441, A5:A1441,"2021", D5:D1441,"Enseñanza de lenguas")</f>
        <v>0</v>
      </c>
      <c r="BA231" s="5">
        <f>SUMIFS( E5:E1441, A5:A1441,"2022", D5:D1441,"Enseñanza de lenguas")</f>
        <v>0</v>
      </c>
      <c r="BB231" s="19">
        <f>SUMIFS( E5:E1441, N5:N1441,"2018", D5:D1441,"Enseñanza de lenguas")</f>
        <v>1</v>
      </c>
      <c r="BC231" s="5">
        <f>SUMIFS( E5:E1441, N5:N1441,"2019", D5:D1441,"EEnseñanza de lenguas")</f>
        <v>0</v>
      </c>
      <c r="BD231" s="5">
        <f>SUMIFS( E5:E1441, N5:N1441,"2020", D5:D1441,"Enseñanza de lenguas")</f>
        <v>0</v>
      </c>
      <c r="BE231" s="5">
        <f>SUMIFS( E5:E1441, N5:N1441,"2021", D5:D1441,"Enseñanza de lenguas")</f>
        <v>0</v>
      </c>
      <c r="BF231" s="5">
        <f>SUMIFS( E5:E1441, N5:N1441,"2022", D5:D1441,"Enseñanza de lenguas")</f>
        <v>0</v>
      </c>
      <c r="BG231" s="14">
        <f>AVERAGEIFS( E5:E1441, D5:D1441,"Enseñanza de lenguas")</f>
        <v>1</v>
      </c>
      <c r="BH231" s="14"/>
      <c r="BI231" s="14"/>
      <c r="BJ231" s="14"/>
      <c r="BK231" s="14"/>
      <c r="BL231" s="37"/>
      <c r="BM231" s="14"/>
      <c r="BN231" s="14"/>
      <c r="BO231" s="14"/>
      <c r="BP231" s="14"/>
      <c r="BQ231" s="14"/>
      <c r="BR231" s="14"/>
    </row>
    <row r="232" spans="1:70" ht="15" customHeight="1">
      <c r="A232" s="24">
        <v>2018</v>
      </c>
      <c r="B232" s="24" t="s">
        <v>78</v>
      </c>
      <c r="C232" s="24" t="s">
        <v>122</v>
      </c>
      <c r="D232" s="24" t="s">
        <v>127</v>
      </c>
      <c r="E232" s="23">
        <v>16</v>
      </c>
      <c r="F232" s="24" t="s">
        <v>211</v>
      </c>
      <c r="G232" s="24" t="s">
        <v>225</v>
      </c>
      <c r="H232" s="23" t="s">
        <v>226</v>
      </c>
      <c r="I232" s="24" t="s">
        <v>226</v>
      </c>
      <c r="J232" s="23" t="s">
        <v>226</v>
      </c>
      <c r="K232" s="24" t="s">
        <v>226</v>
      </c>
      <c r="L232" s="23"/>
      <c r="M232" s="26" t="s">
        <v>335</v>
      </c>
      <c r="N232" s="24">
        <v>2019</v>
      </c>
      <c r="O232" s="76" t="s">
        <v>194</v>
      </c>
      <c r="P232" s="77"/>
      <c r="Q232" s="77"/>
      <c r="R232" s="77"/>
      <c r="S232" s="77"/>
      <c r="T232" s="78"/>
      <c r="U232" s="5">
        <f>COUNTIFS(   D4:D1440,"Estudios eslavos")</f>
        <v>0</v>
      </c>
      <c r="V232" s="5">
        <f>COUNTIFS(   D4:D1440,"Estudios eslavos",F4:F1440,"Hombre")</f>
        <v>0</v>
      </c>
      <c r="W232" s="5">
        <f>COUNTIFS(   D4:D1440,"Estudios eslavos",F4:F1440,"Mujer")</f>
        <v>0</v>
      </c>
      <c r="X232" s="19">
        <f>COUNTIFS(   A4:A1440,"2018", D4:D1440,"Estudios eslavos")</f>
        <v>0</v>
      </c>
      <c r="Y232" s="5">
        <f>COUNTIFS(   A4:A1440,"2019", D4:D1440,"Estudios eslavos")</f>
        <v>0</v>
      </c>
      <c r="Z232" s="5">
        <f>COUNTIFS(   A4:A1440,"2020", D4:D1440,"Estudios eslavos")</f>
        <v>0</v>
      </c>
      <c r="AA232" s="5">
        <f>COUNTIFS(   A4:A1440,"2021", D4:D1440,"Estudios eslavos")</f>
        <v>0</v>
      </c>
      <c r="AB232" s="5">
        <f>COUNTIFS(  A4:A1440,"2022", D4:D1440,"Estudios eslavos")</f>
        <v>0</v>
      </c>
      <c r="AC232" s="19">
        <f>COUNTIFS(   N4:N1440,"2018", D4:D1440,"Estudios eslavos")</f>
        <v>0</v>
      </c>
      <c r="AD232" s="5">
        <f>COUNTIFS(   N4:N1440,"2019", D4:D1440,"Estudios eslavos")</f>
        <v>0</v>
      </c>
      <c r="AE232" s="5">
        <f>COUNTIFS(   N4:N1440,"2020", D4:D1440,"Estudios eslavos")</f>
        <v>0</v>
      </c>
      <c r="AF232" s="5">
        <f>COUNTIFS(   N4:N1440,"2021", D4:D1440,"Estudios eslavos")</f>
        <v>0</v>
      </c>
      <c r="AG232" s="5">
        <f>COUNTIFS(   N4:N1440,"2022", D4:D1440,"Estudios eslavos")</f>
        <v>0</v>
      </c>
      <c r="AH232" s="5">
        <f>COUNTIFS(   D4:D1440,"Estudios eslavos",G4:G1440,"Sí")</f>
        <v>0</v>
      </c>
      <c r="AI232" s="5">
        <f>COUNTIFS(   D4:D1440,"Estudios eslavos",G4:G1440,"No")</f>
        <v>0</v>
      </c>
      <c r="AJ232" s="5">
        <f>SUMIFS( E4:E1440, D4:D1440,"Estudios eslavos",G4:G1440,"Sí")</f>
        <v>0</v>
      </c>
      <c r="AK232" s="5">
        <f>SUMIFS( E4:E1440, D4:D1440,"Estudios eslavos",G4:G1440,"No")</f>
        <v>0</v>
      </c>
      <c r="AL232" s="5">
        <f>COUNTIFS(   D4:D1440,"Estudios eslavos",H4:H1440,"Sí")</f>
        <v>0</v>
      </c>
      <c r="AM232" s="5">
        <f>COUNTIFS(   D4:D1440,"Estudios eslavos",I4:I1440,"Sí")</f>
        <v>0</v>
      </c>
      <c r="AN232" s="5">
        <f>COUNTIFS(   D4:D1440,"Estudios eslavos",I4:I1440,"No")</f>
        <v>0</v>
      </c>
      <c r="AO232" s="5">
        <f>SUMIFS( E4:E1440, D4:D1440,"Estudios eslavos",I4:I1440,"Sí")</f>
        <v>0</v>
      </c>
      <c r="AP232" s="5">
        <f>SUMIFS( E4:E1440, D4:D1440,"Estudios eslavos",I4:I1440,"No")</f>
        <v>0</v>
      </c>
      <c r="AQ232" s="5">
        <f>COUNTIFS(   D4:D1440,"Estudios eslavos",J4:J1440,"Sí")</f>
        <v>0</v>
      </c>
      <c r="AR232" s="5">
        <f>COUNTIFS(   D4:D1440,"Estudios eslavos",K4:K1440,"Sí")</f>
        <v>0</v>
      </c>
      <c r="AS232" s="5">
        <f>COUNTIFS(   D4:D1440,"Estudios eslavos",L4:L1440,"Sí")</f>
        <v>0</v>
      </c>
      <c r="AT232" s="5">
        <f>SUMIFS( E4:E1440, D4:D1440,"Estudios eslavos")</f>
        <v>0</v>
      </c>
      <c r="AU232" s="5">
        <f>SUMIFS( E4:E1440, F4:F1440,"Hombre", D4:D1440,"Estudios eslavos")</f>
        <v>0</v>
      </c>
      <c r="AV232" s="5">
        <f>SUMIFS( E4:E1440, F4:F1440,"Mujer", D4:D1440,"Estudios eslavos")</f>
        <v>0</v>
      </c>
      <c r="AW232" s="19">
        <f>SUMIFS( E4:E1440, A4:A1440,"2018", D4:D1440,"Estudios eslavos")</f>
        <v>0</v>
      </c>
      <c r="AX232" s="5">
        <f>SUMIFS( E4:E1440, A4:A1440,"2019", D4:D1440,"Estudios eslavos")</f>
        <v>0</v>
      </c>
      <c r="AY232" s="5">
        <f>SUMIFS( E4:E1440, A4:A1440,"2020", D4:D1440,"Estudios eslavos")</f>
        <v>0</v>
      </c>
      <c r="AZ232" s="5">
        <f>SUMIFS( E4:E1440, A4:A1440,"2021", D4:D1440,"Estudios eslavos")</f>
        <v>0</v>
      </c>
      <c r="BA232" s="5">
        <f>SUMIFS( E4:E1440, A4:A1440,"2022", D4:D1440,"Estudios eslavos")</f>
        <v>0</v>
      </c>
      <c r="BB232" s="19">
        <f>SUMIFS( E4:E1440, N4:N1440,"2018", D4:D1440,"Estudios eslavos")</f>
        <v>0</v>
      </c>
      <c r="BC232" s="5">
        <f>SUMIFS( E4:E1440, N4:N1440,"2019", D4:D1440,"Estudios eslavos")</f>
        <v>0</v>
      </c>
      <c r="BD232" s="5">
        <f>SUMIFS( E4:E1440, N4:N1440,"2020", D4:D1440,"Estudios eslavos")</f>
        <v>0</v>
      </c>
      <c r="BE232" s="5">
        <f>SUMIFS( E4:E1440, N4:N1440,"2021", D4:D1440,"Estudios eslavos")</f>
        <v>0</v>
      </c>
      <c r="BF232" s="5">
        <f>SUMIFS( E4:E1440, N4:N1440,"2022", D4:D1440,"Estudios eslavos")</f>
        <v>0</v>
      </c>
      <c r="BG232" s="14" t="e">
        <f>AVERAGEIFS( E4:E1440, D4:D1440,"Estudios eslavos")</f>
        <v>#DIV/0!</v>
      </c>
      <c r="BH232" s="14">
        <v>0</v>
      </c>
      <c r="BI232" s="14">
        <v>0</v>
      </c>
      <c r="BJ232" s="14">
        <v>0</v>
      </c>
      <c r="BK232" s="14" t="e">
        <f>AVERAGEIFS( E4:E1440, A4:A1440,"2021", D4:D1440,"Estudios eslavos")</f>
        <v>#DIV/0!</v>
      </c>
      <c r="BL232" s="37">
        <v>0</v>
      </c>
      <c r="BM232" s="14">
        <v>1</v>
      </c>
      <c r="BN232" s="14">
        <v>0</v>
      </c>
      <c r="BO232" s="14">
        <v>0</v>
      </c>
      <c r="BP232" s="14">
        <v>0</v>
      </c>
      <c r="BQ232" s="14">
        <v>1</v>
      </c>
      <c r="BR232" s="14">
        <v>0</v>
      </c>
    </row>
    <row r="233" spans="1:70" ht="15" customHeight="1">
      <c r="A233" s="24">
        <v>2018</v>
      </c>
      <c r="B233" s="24" t="s">
        <v>4</v>
      </c>
      <c r="C233" s="24" t="s">
        <v>18</v>
      </c>
      <c r="D233" s="24" t="s">
        <v>21</v>
      </c>
      <c r="E233" s="23">
        <v>2</v>
      </c>
      <c r="F233" s="24" t="s">
        <v>207</v>
      </c>
      <c r="G233" s="24" t="s">
        <v>225</v>
      </c>
      <c r="H233" s="23" t="s">
        <v>226</v>
      </c>
      <c r="I233" s="24" t="s">
        <v>226</v>
      </c>
      <c r="J233" s="23" t="s">
        <v>226</v>
      </c>
      <c r="K233" s="24" t="s">
        <v>226</v>
      </c>
      <c r="L233" s="23"/>
      <c r="M233" s="26" t="s">
        <v>335</v>
      </c>
      <c r="N233" s="24">
        <v>2019</v>
      </c>
      <c r="O233" s="73" t="s">
        <v>197</v>
      </c>
      <c r="P233" s="68"/>
      <c r="Q233" s="68"/>
      <c r="R233" s="68"/>
      <c r="S233" s="68"/>
      <c r="T233" s="69"/>
      <c r="U233" s="5">
        <f>COUNTIFS(   D4:D1440,"Estudios románicos: lengua y literatura italiana, portuguesa y catalana")</f>
        <v>2</v>
      </c>
      <c r="V233" s="5">
        <f>COUNTIFS(   D4:D1440,"Estudios románicos: lengua y literatura italiana, portuguesa y catalana",F4:F1440,"Hombre")</f>
        <v>1</v>
      </c>
      <c r="W233" s="5">
        <f>COUNTIFS(   D4:D1440,"Estudios románicos: lengua y literatura italiana, portuguesa y catalana",F4:F1440,"Mujer")</f>
        <v>1</v>
      </c>
      <c r="X233" s="19">
        <f>COUNTIFS(   A4:A1440,"2018", D4:D1440,"Estudios románicos: lengua y literatura italiana, portuguesa y catalana")</f>
        <v>0</v>
      </c>
      <c r="Y233" s="5">
        <f>COUNTIFS(   A4:A1440,"2019", D4:D1440,"Estudios románicos: lengua y literatura italiana, portuguesa y catalana")</f>
        <v>0</v>
      </c>
      <c r="Z233" s="5">
        <f>COUNTIFS(   A4:A1440,"2020", D4:D1440,"Estudios románicos: lengua y literatura italiana, portuguesa y catalana")</f>
        <v>1</v>
      </c>
      <c r="AA233" s="5">
        <f>COUNTIFS(   A4:A1440,"2021", D4:D1440,"Estudios románicos: lengua y literatura italiana, portuguesa y catalana")</f>
        <v>1</v>
      </c>
      <c r="AB233" s="5">
        <f>COUNTIFS(  A4:A1440,"2022", D4:D1440,"Estudios románicos: lengua y literatura italiana, portuguesa y catalana")</f>
        <v>0</v>
      </c>
      <c r="AC233" s="19">
        <f>COUNTIFS(   N4:N1440,"2018", D4:D1440,"Estudios románicos: lengua y literatura italiana, portuguesa y catalana")</f>
        <v>0</v>
      </c>
      <c r="AD233" s="5">
        <f>COUNTIFS(   N4:N1440,"2019", D4:D1440,"Estudios románicos: lengua y literatura italiana, portuguesa y catalana")</f>
        <v>0</v>
      </c>
      <c r="AE233" s="5">
        <f>COUNTIFS(   N4:N1440,"2020", D4:D1440,"Estudios románicos: lengua y literatura italiana, portuguesa y catalana")</f>
        <v>1</v>
      </c>
      <c r="AF233" s="5">
        <f>COUNTIFS(   N4:N1440,"2021", D4:D1440,"Estudios románicos: lengua y literatura italiana, portuguesa y catalana")</f>
        <v>0</v>
      </c>
      <c r="AG233" s="5">
        <f>COUNTIFS(   N4:N1440,"2022", D4:D1440,"Estudios románicos: lengua y literatura italiana, portuguesa y catalana")</f>
        <v>1</v>
      </c>
      <c r="AH233" s="5">
        <f>COUNTIFS(   D4:D1440,"Estudios románicos: lengua y literatura italiana, portuguesa y catalana",G4:G1440,"Sí")</f>
        <v>1</v>
      </c>
      <c r="AI233" s="5">
        <f>COUNTIFS(   D4:D1440,"Estudios románicos: lengua y literatura italiana, portuguesa y catalana",G4:G1440,"No")</f>
        <v>1</v>
      </c>
      <c r="AJ233" s="5">
        <f>SUMIFS( E4:E1440, D4:D1440,"Estudios románicos: lengua y literatura italiana, portuguesa y catalana",G4:G1440,"Sí")</f>
        <v>0</v>
      </c>
      <c r="AK233" s="5">
        <f>SUMIFS( E4:E1440, D4:D1440,"Estudios románicos: lengua y literatura italiana, portuguesa y catalana",G4:G1440,"No")</f>
        <v>2</v>
      </c>
      <c r="AL233" s="5">
        <f>COUNTIFS(   D4:D1440,"Estudios románicos: lengua y literatura italiana, portuguesa y catalana",H4:H1440,"Sí")</f>
        <v>1</v>
      </c>
      <c r="AM233" s="5">
        <f>COUNTIFS(   D4:D1440,"Estudios románicos: lengua y literatura italiana, portuguesa y catalana",I4:I1440,"Sí")</f>
        <v>1</v>
      </c>
      <c r="AN233" s="5">
        <f>COUNTIFS(   D4:D1440,"Estudios románicos: lengua y literatura italiana, portuguesa y catalana",I4:I1440,"No")</f>
        <v>1</v>
      </c>
      <c r="AO233" s="5">
        <f>SUMIFS( E4:E1440, D4:D1440,"Estudios románicos: lengua y literatura italiana, portuguesa y catalana",I4:I1440,"Sí")</f>
        <v>0</v>
      </c>
      <c r="AP233" s="5">
        <f>SUMIFS( E4:E1440, D4:D1440,"Estudios románicos: lengua y literatura italiana, portuguesa y catalana",I4:I1440,"No")</f>
        <v>2</v>
      </c>
      <c r="AQ233" s="5">
        <f>COUNTIFS(   D4:D1440,"Estudios románicos: lengua y literatura italiana, portuguesa y catalana",J4:J1440,"Sí")</f>
        <v>2</v>
      </c>
      <c r="AR233" s="5">
        <f>COUNTIFS(   D4:D1440,"Estudios románicos: lengua y literatura italiana, portuguesa y catalana",K4:K1440,"Sí")</f>
        <v>0</v>
      </c>
      <c r="AS233" s="5">
        <f>COUNTIFS(   D4:D1440,"Estudios románicos: lengua y literatura italiana, portuguesa y catalana",L4:L1440,"Sí")</f>
        <v>0</v>
      </c>
      <c r="AT233" s="5">
        <f>SUMIFS( E4:E1440, D4:D1440,"Estudios románicos: lengua y literatura italiana, portuguesa y catalana")</f>
        <v>2</v>
      </c>
      <c r="AU233" s="5">
        <f>SUMIFS( E4:E1440, F4:F1440,"Hombre", D4:D1440,"Estudios románicos: lengua y literatura italiana, portuguesa y catalana")</f>
        <v>0</v>
      </c>
      <c r="AV233" s="5">
        <f>SUMIFS( E4:E1440, F4:F1440,"Mujer", D4:D1440,"Estudios románicos: lengua y literatura italiana, portuguesa y catalana")</f>
        <v>2</v>
      </c>
      <c r="AW233" s="19">
        <f>SUMIFS( E4:E1440, A4:A1440,"2018", D4:D1440,"Estudios románicos: lengua y literatura italiana, portuguesa y catalana")</f>
        <v>0</v>
      </c>
      <c r="AX233" s="5">
        <f>SUMIFS( E4:E1440, A4:A1440,"2019", D4:D1440,"Estudios románicos: lengua y literatura italiana, portuguesa y catalana")</f>
        <v>0</v>
      </c>
      <c r="AY233" s="5">
        <f>SUMIFS( E4:E1440, A4:A1440,"2020", D4:D1440,"Estudios románicos: lengua y literatura italiana, portuguesa y catalana")</f>
        <v>0</v>
      </c>
      <c r="AZ233" s="5">
        <f>SUMIFS( E4:E1440, A4:A1440,"2021", D4:D1440,"Estudios románicos: lengua y literatura italiana, portuguesa y catalana")</f>
        <v>2</v>
      </c>
      <c r="BA233" s="5">
        <f>SUMIFS( E4:E1440, A4:A1440,"2022", D4:D1440,"Estudios románicos: lengua y literatura italiana, portuguesa y catalana")</f>
        <v>0</v>
      </c>
      <c r="BB233" s="19">
        <f>SUMIFS( E4:E1440, N4:N1440,"2018", D4:D1440,"Estudios románicos: lengua y literatura italiana, portuguesa y catalana")</f>
        <v>0</v>
      </c>
      <c r="BC233" s="5">
        <f>SUMIFS( E4:E1440, N4:N1440,"2019", D4:D1440,"Estudios románicos: lengua y literatura italiana, portuguesa y catalana")</f>
        <v>0</v>
      </c>
      <c r="BD233" s="5">
        <f>SUMIFS( E4:E1440, N4:N1440,"2020", D4:D1440,"Estudios románicos: lengua y literatura italiana, portuguesa y catalana")</f>
        <v>0</v>
      </c>
      <c r="BE233" s="5">
        <f>SUMIFS( E4:E1440, N4:N1440,"2021", D4:D1440,"Estudios románicos: lengua y literatura italiana, portuguesa y catalana")</f>
        <v>0</v>
      </c>
      <c r="BF233" s="5">
        <f>SUMIFS( E4:E1440, N4:N1440,"2022", D4:D1440,"Estudios románicos: lengua y literatura italiana, portuguesa y catalana")</f>
        <v>2</v>
      </c>
      <c r="BG233" s="14">
        <f>AVERAGEIFS( E4:E1440, D4:D1440,"Estudios románicos: lengua y literatura italiana, portuguesa y catalana")</f>
        <v>2</v>
      </c>
      <c r="BH233" s="14">
        <v>0</v>
      </c>
      <c r="BI233" s="14">
        <v>0</v>
      </c>
      <c r="BJ233" s="14">
        <v>0</v>
      </c>
      <c r="BK233" s="14">
        <f>AVERAGEIFS( E4:E1440, A4:A1440,"2021", D4:D1440,"Estudios románicos: lengua y literatura italiana, portuguesa y catalana")</f>
        <v>2</v>
      </c>
      <c r="BL233" s="37">
        <v>0</v>
      </c>
      <c r="BM233" s="14">
        <v>1</v>
      </c>
      <c r="BN233" s="14">
        <v>0</v>
      </c>
      <c r="BO233" s="14">
        <v>0</v>
      </c>
      <c r="BP233" s="14">
        <v>0</v>
      </c>
      <c r="BQ233" s="14">
        <v>1</v>
      </c>
      <c r="BR233" s="14">
        <v>0</v>
      </c>
    </row>
    <row r="234" spans="1:70">
      <c r="A234" s="24">
        <v>2018</v>
      </c>
      <c r="B234" s="24" t="s">
        <v>4</v>
      </c>
      <c r="C234" s="24" t="s">
        <v>23</v>
      </c>
      <c r="D234" s="24" t="s">
        <v>26</v>
      </c>
      <c r="E234" s="23"/>
      <c r="F234" s="24" t="s">
        <v>207</v>
      </c>
      <c r="G234" s="24" t="s">
        <v>225</v>
      </c>
      <c r="H234" s="23" t="s">
        <v>225</v>
      </c>
      <c r="I234" s="24" t="s">
        <v>225</v>
      </c>
      <c r="J234" s="23" t="s">
        <v>226</v>
      </c>
      <c r="K234" s="24" t="s">
        <v>225</v>
      </c>
      <c r="L234" s="23"/>
      <c r="M234" s="26" t="s">
        <v>336</v>
      </c>
      <c r="N234" s="24">
        <v>2019</v>
      </c>
      <c r="O234" s="73" t="s">
        <v>190</v>
      </c>
      <c r="P234" s="68"/>
      <c r="Q234" s="68"/>
      <c r="R234" s="68"/>
      <c r="S234" s="68"/>
      <c r="T234" s="69"/>
      <c r="U234" s="5">
        <f>COUNTIFS(   D4:D1440,"Judaísmo clásico y medieval y mundo sefardí")</f>
        <v>1</v>
      </c>
      <c r="V234" s="5">
        <f>COUNTIFS(   D4:D1440,"Judaísmo clásico y medieval y mundo sefardí",F4:F1440,"Hombre")</f>
        <v>1</v>
      </c>
      <c r="W234" s="5">
        <f>COUNTIFS(   D4:D1440,"Judaísmo clásico y medieval y mundo sefardí",F4:F1440,"Mujer")</f>
        <v>0</v>
      </c>
      <c r="X234" s="19">
        <v>0</v>
      </c>
      <c r="Y234" s="5">
        <v>0</v>
      </c>
      <c r="Z234" s="5">
        <v>0</v>
      </c>
      <c r="AA234" s="5">
        <v>0</v>
      </c>
      <c r="AB234" s="5">
        <v>0</v>
      </c>
      <c r="AC234" s="19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f>COUNTIFS(   D4:D1440,"Judaísmo clásico y medieval y mundo sefardí",G4:G1440,"Sí")</f>
        <v>0</v>
      </c>
      <c r="AI234" s="5">
        <f>COUNTIFS(   D4:D1440,"Judaísmo clásico y medieval y mundo sefardí",G4:G1440,"No")</f>
        <v>1</v>
      </c>
      <c r="AJ234" s="5">
        <f>SUMIFS( E4:E1440, D4:D1440,"Judaísmo clásico y medieval y mundo sefardí",G4:G1440,"Sí")</f>
        <v>0</v>
      </c>
      <c r="AK234" s="5">
        <f>SUMIFS( E4:E1440, D4:D1440,"Judaísmo clásico y medieval y mundo sefardí",G4:G1440,"No")</f>
        <v>1</v>
      </c>
      <c r="AL234" s="5">
        <f>COUNTIFS(   D4:D1440,"Judaísmo clásico y medieval y mundo sefardí",H4:H1440,"Sí")</f>
        <v>1</v>
      </c>
      <c r="AM234" s="5">
        <f>COUNTIFS(   D4:D1440,"Judaísmo clásico y medieval y mundo sefardí",I4:I1440,"Sí")</f>
        <v>0</v>
      </c>
      <c r="AN234" s="5">
        <f>COUNTIFS(   D4:D1440,"Judaísmo clásico y medieval y mundo sefardí",I4:I1440,"No")</f>
        <v>1</v>
      </c>
      <c r="AO234" s="5">
        <f>SUMIFS( E4:E1440, D4:D1440,"Judaísmo clásico y medieval y mundo sefardí",I4:I1440,"Sí")</f>
        <v>0</v>
      </c>
      <c r="AP234" s="5">
        <f>SUMIFS( E4:E1440, D4:D1440,"Judaísmo clásico y medieval y mundo sefardí",I4:I1440,"No")</f>
        <v>1</v>
      </c>
      <c r="AQ234" s="5">
        <f>COUNTIFS(   D4:D1440,"Judaísmo clásico y medieval y mundo sefardí",J4:J1440,"Sí")</f>
        <v>1</v>
      </c>
      <c r="AR234" s="5">
        <f>COUNTIFS(   D4:D1440,"Judaísmo clásico y medieval y mundo sefardí",K4:K1440,"Sí")</f>
        <v>0</v>
      </c>
      <c r="AS234" s="5">
        <f>COUNTIFS(   D4:D1440,"Judaísmo clásico y medieval y mundo sefardí",L4:L1440,"Sí")</f>
        <v>0</v>
      </c>
      <c r="AT234" s="5">
        <f>SUMIFS( E4:E1440, D4:D1440,"Judaísmo clásico y medieval y mundo sefardí")</f>
        <v>1</v>
      </c>
      <c r="AU234" s="5">
        <v>0</v>
      </c>
      <c r="AV234" s="5">
        <v>0</v>
      </c>
      <c r="AW234" s="19">
        <v>0</v>
      </c>
      <c r="AX234" s="5">
        <v>0</v>
      </c>
      <c r="AY234" s="5">
        <v>0</v>
      </c>
      <c r="AZ234" s="5">
        <v>0</v>
      </c>
      <c r="BA234" s="5">
        <v>0</v>
      </c>
      <c r="BB234" s="19">
        <v>0</v>
      </c>
      <c r="BC234" s="5">
        <v>0</v>
      </c>
      <c r="BD234" s="5">
        <v>0</v>
      </c>
      <c r="BE234" s="5">
        <v>0</v>
      </c>
      <c r="BF234" s="5">
        <v>0</v>
      </c>
      <c r="BG234" s="14">
        <f>AVERAGEIFS( E4:E1440, D4:D1440,"Judaísmo clásico y medieval y mundo sefardí")</f>
        <v>1</v>
      </c>
      <c r="BH234" s="14">
        <v>0</v>
      </c>
      <c r="BI234" s="14">
        <v>0</v>
      </c>
      <c r="BJ234" s="14">
        <v>0</v>
      </c>
      <c r="BK234" s="14">
        <v>0</v>
      </c>
      <c r="BL234" s="37">
        <v>0</v>
      </c>
      <c r="BM234" s="14">
        <v>0</v>
      </c>
      <c r="BN234" s="14">
        <v>0</v>
      </c>
      <c r="BO234" s="14">
        <v>0</v>
      </c>
      <c r="BP234" s="14">
        <v>0</v>
      </c>
      <c r="BQ234" s="14">
        <v>0</v>
      </c>
      <c r="BR234" s="14">
        <v>0</v>
      </c>
    </row>
    <row r="235" spans="1:70" ht="15" customHeight="1">
      <c r="A235" s="24">
        <v>2018</v>
      </c>
      <c r="B235" s="24" t="s">
        <v>136</v>
      </c>
      <c r="C235" s="24" t="s">
        <v>137</v>
      </c>
      <c r="D235" s="24" t="s">
        <v>145</v>
      </c>
      <c r="E235" s="23"/>
      <c r="F235" s="24" t="s">
        <v>211</v>
      </c>
      <c r="G235" s="24" t="s">
        <v>225</v>
      </c>
      <c r="H235" s="23" t="s">
        <v>225</v>
      </c>
      <c r="I235" s="24" t="s">
        <v>226</v>
      </c>
      <c r="J235" s="23" t="s">
        <v>226</v>
      </c>
      <c r="K235" s="24" t="s">
        <v>226</v>
      </c>
      <c r="L235" s="23"/>
      <c r="M235" s="26" t="s">
        <v>337</v>
      </c>
      <c r="N235" s="24">
        <v>2019</v>
      </c>
      <c r="O235" s="73" t="s">
        <v>195</v>
      </c>
      <c r="P235" s="68"/>
      <c r="Q235" s="68"/>
      <c r="R235" s="68"/>
      <c r="S235" s="68"/>
      <c r="T235" s="69"/>
      <c r="U235" s="5">
        <f>COUNTIFS(   D4:D1440,"Lengua española")</f>
        <v>7</v>
      </c>
      <c r="V235" s="5">
        <f>COUNTIFS(   D4:D1440,"Lengua española",F4:F1440,"Hombre")</f>
        <v>2</v>
      </c>
      <c r="W235" s="5">
        <f>COUNTIFS(   D4:D1440,"Lengua española",F4:F1440,"Mujer")</f>
        <v>5</v>
      </c>
      <c r="X235" s="19">
        <f>COUNTIFS(   A4:A1440,"2018", D4:D1440,"Lengua española")</f>
        <v>1</v>
      </c>
      <c r="Y235" s="5">
        <f>COUNTIFS(   A4:A1440,"2019", D4:D1440,"Lengua española")</f>
        <v>2</v>
      </c>
      <c r="Z235" s="5">
        <f>COUNTIFS(   A4:A1440,"2020", D4:D1440,"Lengua española")</f>
        <v>3</v>
      </c>
      <c r="AA235" s="5">
        <f>COUNTIFS(   A4:A1440,"2021", D4:D1440,"Lengua española")</f>
        <v>1</v>
      </c>
      <c r="AB235" s="5">
        <f>COUNTIFS(  A4:A1440,"2022", D4:D1440,"Lengua española")</f>
        <v>0</v>
      </c>
      <c r="AC235" s="19">
        <f>COUNTIFS(   N4:N1440,"2018", D4:D1440,"Lengua española")</f>
        <v>0</v>
      </c>
      <c r="AD235" s="5">
        <f>COUNTIFS(   N4:N1440,"2019", D4:D1440,"Lengua española")</f>
        <v>2</v>
      </c>
      <c r="AE235" s="5">
        <f>COUNTIFS(   N4:N1440,"2020", D4:D1440,"Lengua española")</f>
        <v>1</v>
      </c>
      <c r="AF235" s="5">
        <f>COUNTIFS(   N4:N1440,"2021", D4:D1440,"Lengua española")</f>
        <v>4</v>
      </c>
      <c r="AG235" s="5">
        <f>COUNTIFS(   N4:N1440,"2022", D4:D1440,"Lengua española")</f>
        <v>0</v>
      </c>
      <c r="AH235" s="5">
        <f>COUNTIFS(   D4:D1440,"Lengua española",G4:G1440,"Sí")</f>
        <v>0</v>
      </c>
      <c r="AI235" s="5">
        <f>COUNTIFS(   D4:D1440,"Lengua española",G4:G1440,"No")</f>
        <v>7</v>
      </c>
      <c r="AJ235" s="5">
        <f>SUMIFS( E4:E1440, D4:D1440,"Lengua española",G4:G1440,"Sí")</f>
        <v>0</v>
      </c>
      <c r="AK235" s="5">
        <f>SUMIFS( E4:E1440, D4:D1440,"Lengua española",G4:G1440,"No")</f>
        <v>15</v>
      </c>
      <c r="AL235" s="5">
        <f>COUNTIFS(   D4:D1440,"Lengua española",H4:H1440,"Sí")</f>
        <v>4</v>
      </c>
      <c r="AM235" s="5">
        <f>COUNTIFS(   D4:D1440,"Lengua española",I4:I1440,"Sí")</f>
        <v>5</v>
      </c>
      <c r="AN235" s="5">
        <f>COUNTIFS(   D4:D1440,"Lengua española",I4:I1440,"No")</f>
        <v>2</v>
      </c>
      <c r="AO235" s="5">
        <f>SUMIFS( E4:E1440, D4:D1440,"Lengua española",I4:I1440,"Sí")</f>
        <v>12</v>
      </c>
      <c r="AP235" s="5">
        <f>SUMIFS( E4:E1440, D4:D1440,"Lengua española",I4:I1440,"No")</f>
        <v>3</v>
      </c>
      <c r="AQ235" s="5">
        <f>COUNTIFS(   D4:D1440,"Lengua española",J4:J1440,"Sí")</f>
        <v>7</v>
      </c>
      <c r="AR235" s="5">
        <f>COUNTIFS(   D4:D1440,"Lengua española",K4:K1440,"Sí")</f>
        <v>1</v>
      </c>
      <c r="AS235" s="5">
        <f>COUNTIFS(   D4:D1440,"Lengua española",L4:L1440,"Sí")</f>
        <v>0</v>
      </c>
      <c r="AT235" s="5">
        <f>SUMIFS( E4:E1440, D4:D1440,"Lengua española")</f>
        <v>15</v>
      </c>
      <c r="AU235" s="5">
        <f>SUMIFS( E4:E1440, F4:F1440,"Hombre", D4:D1440,"Lengua española")</f>
        <v>5</v>
      </c>
      <c r="AV235" s="5">
        <f>SUMIFS( E4:E1440, F4:F1440,"Mujer", D4:D1440,"Lengua española")</f>
        <v>10</v>
      </c>
      <c r="AW235" s="19">
        <f>SUMIFS( E4:E1440, A4:A1440,"2018", D4:D1440,"Lengua española")</f>
        <v>4</v>
      </c>
      <c r="AX235" s="5">
        <f>SUMIFS( E4:E1440, A4:A1440,"2019", D4:D1440,"Lengua española")</f>
        <v>3</v>
      </c>
      <c r="AY235" s="5">
        <f>SUMIFS( E4:E1440, A4:A1440,"2020", D4:D1440,"Lengua española")</f>
        <v>8</v>
      </c>
      <c r="AZ235" s="5">
        <f>SUMIFS( E4:E1440, A4:A1440,"2021", D4:D1440,"Lengua española")</f>
        <v>0</v>
      </c>
      <c r="BA235" s="5">
        <f>SUMIFS( E4:E1440, A4:A1440,"2022", D4:D1440,"Lengua española")</f>
        <v>0</v>
      </c>
      <c r="BB235" s="19">
        <f>SUMIFS( E4:E1440, N4:N1440,"2018", D4:D1440,"Lengua española")</f>
        <v>0</v>
      </c>
      <c r="BC235" s="5">
        <f>SUMIFS( E4:E1440, N4:N1440,"2019", D4:D1440,"Lengua española")</f>
        <v>7</v>
      </c>
      <c r="BD235" s="5">
        <f>SUMIFS( E4:E1440, N4:N1440,"2020", D4:D1440,"Lengua española")</f>
        <v>0</v>
      </c>
      <c r="BE235" s="5">
        <f>SUMIFS( E4:E1440, N4:N1440,"2021", D4:D1440,"Lengua española")</f>
        <v>8</v>
      </c>
      <c r="BF235" s="5">
        <f>SUMIFS( E4:E1440, N4:N1440,"2022", D4:D1440,"Lengua española")</f>
        <v>0</v>
      </c>
      <c r="BG235" s="14">
        <f>AVERAGEIFS( E4:E1440, D4:D1440,"Lengua española")</f>
        <v>3.75</v>
      </c>
      <c r="BH235" s="14">
        <v>0</v>
      </c>
      <c r="BI235" s="14">
        <v>0</v>
      </c>
      <c r="BJ235" s="14">
        <v>0</v>
      </c>
      <c r="BK235" s="14" t="e">
        <f>AVERAGEIFS( E4:E1440, A4:A1440,"2021", D4:D1440,"Lengua española")</f>
        <v>#DIV/0!</v>
      </c>
      <c r="BL235" s="37">
        <v>0</v>
      </c>
      <c r="BM235" s="14">
        <v>0.33333333333333331</v>
      </c>
      <c r="BN235" s="14">
        <v>0</v>
      </c>
      <c r="BO235" s="14">
        <v>0</v>
      </c>
      <c r="BP235" s="14">
        <v>0</v>
      </c>
      <c r="BQ235" s="14">
        <v>0.33333333333333331</v>
      </c>
      <c r="BR235" s="14">
        <v>0</v>
      </c>
    </row>
    <row r="236" spans="1:70" ht="15" customHeight="1">
      <c r="A236" s="24">
        <v>2018</v>
      </c>
      <c r="B236" s="24" t="s">
        <v>4</v>
      </c>
      <c r="C236" s="24" t="s">
        <v>23</v>
      </c>
      <c r="D236" s="24" t="s">
        <v>30</v>
      </c>
      <c r="E236" s="23">
        <v>25</v>
      </c>
      <c r="F236" s="24" t="s">
        <v>211</v>
      </c>
      <c r="G236" s="24" t="s">
        <v>225</v>
      </c>
      <c r="H236" s="23" t="s">
        <v>226</v>
      </c>
      <c r="I236" s="24" t="s">
        <v>225</v>
      </c>
      <c r="J236" s="23" t="s">
        <v>226</v>
      </c>
      <c r="K236" s="24" t="s">
        <v>226</v>
      </c>
      <c r="L236" s="23"/>
      <c r="M236" s="26" t="s">
        <v>338</v>
      </c>
      <c r="N236" s="24">
        <v>2019</v>
      </c>
      <c r="O236" s="48" t="s">
        <v>491</v>
      </c>
      <c r="P236" s="49"/>
      <c r="Q236" s="49"/>
      <c r="R236" s="49"/>
      <c r="S236" s="49"/>
      <c r="T236" s="50"/>
      <c r="U236" s="5">
        <f>COUNTIFS(   D3:D1439,"Lengua y literatura francesas")</f>
        <v>3</v>
      </c>
      <c r="V236" s="5">
        <f>COUNTIFS(   D3:D1439,"Lengua y literatura francesas",F3:F1439,"Hombre")</f>
        <v>0</v>
      </c>
      <c r="W236" s="5">
        <f>COUNTIFS(   D3:D1439,"Lengua y literatura francesas",F3:F1439,"Mujer")</f>
        <v>3</v>
      </c>
      <c r="X236" s="19">
        <f>COUNTIFS(   A3:A1439,"2018", D3:D1439,"Lengua y literatura francesas")</f>
        <v>0</v>
      </c>
      <c r="Y236" s="5">
        <f>COUNTIFS(   A3:A1439,"2019", D3:D1439,"Lengua y literatura francesas")</f>
        <v>0</v>
      </c>
      <c r="Z236" s="5">
        <f>COUNTIFS(   A3:A1439,"2020", D3:D1439,"Lengua y literatura francesas")</f>
        <v>2</v>
      </c>
      <c r="AA236" s="5">
        <f>COUNTIFS(   A3:A1439,"2021", D3:D1439,"Lengua y literatura francesas")</f>
        <v>1</v>
      </c>
      <c r="AB236" s="5">
        <f>COUNTIFS(  A3:A1439,"2022", D3:D1439,"Lengua y literatura francesas")</f>
        <v>0</v>
      </c>
      <c r="AC236" s="19">
        <f>COUNTIFS(   N3:N1439,"2018", D3:D1439,"Lengua y literatura francesas")</f>
        <v>0</v>
      </c>
      <c r="AD236" s="5">
        <f>COUNTIFS(   N3:N1439,"2019", D3:D1439,"Lengua y literatura francesas")</f>
        <v>0</v>
      </c>
      <c r="AE236" s="5">
        <f>COUNTIFS(   N3:N1439,"2020", D3:D1439,"Lengua y literatura francesas")</f>
        <v>2</v>
      </c>
      <c r="AF236" s="5">
        <f>COUNTIFS(   N3:N1439,"2021", D3:D1439,"Lengua y literatura francesas")</f>
        <v>1</v>
      </c>
      <c r="AG236" s="5">
        <f>COUNTIFS(   N3:N1439,"2022", D3:D1439,"Lengua y literatura francesas")</f>
        <v>0</v>
      </c>
      <c r="AH236" s="5">
        <f>COUNTIFS(   D3:D1439,"Lengua y literatura francesas",G3:G1439,"Sí")</f>
        <v>1</v>
      </c>
      <c r="AI236" s="5">
        <f>COUNTIFS(   D3:D1439,"Lengua y literatura francesas",G3:G1439,"No")</f>
        <v>2</v>
      </c>
      <c r="AJ236" s="5">
        <f>SUMIFS( E3:E1439, D3:D1439,"Lengua y literatura francesas",G3:G1439,"Sí")</f>
        <v>3</v>
      </c>
      <c r="AK236" s="5">
        <f>SUMIFS( E3:E1439, D3:D1439,"Lengua y literatura francesas",G3:G1439,"No")</f>
        <v>1</v>
      </c>
      <c r="AL236" s="5">
        <f>COUNTIFS(   D3:D1439,"Lengua y literatura francesas",H3:H1439,"Sí")</f>
        <v>2</v>
      </c>
      <c r="AM236" s="5">
        <f>COUNTIFS(   D3:D1439,"Lengua y literatura francesas",I3:I1439,"Sí")</f>
        <v>2</v>
      </c>
      <c r="AN236" s="5">
        <f>COUNTIFS(   D3:D1439,"Lengua y literatura francesas",I3:I1439,"No")</f>
        <v>1</v>
      </c>
      <c r="AO236" s="5">
        <f>SUMIFS( E3:E1439, D3:D1439,"Lengua y literatura francesas",I3:I1439,"Sí")</f>
        <v>3</v>
      </c>
      <c r="AP236" s="5">
        <f>SUMIFS( E3:E1439, D3:D1439,"Lengua y literatura francesas",I3:I1439,"No")</f>
        <v>1</v>
      </c>
      <c r="AQ236" s="5">
        <f>COUNTIFS(   D3:D1439,"Lengua y literatura francesas",J3:J1439,"Sí")</f>
        <v>3</v>
      </c>
      <c r="AR236" s="5">
        <f>COUNTIFS(   D3:D1439,"Lengua y literatura francesas",K3:K1439,"Sí")</f>
        <v>0</v>
      </c>
      <c r="AS236" s="5">
        <f>COUNTIFS(   D3:D1439,"Lengua y literatura francesas",L3:L1439,"Sí")</f>
        <v>0</v>
      </c>
      <c r="AT236" s="5">
        <f>SUMIFS( E3:E1439, D3:D1439,"Lengua y literatura francesas")</f>
        <v>4</v>
      </c>
      <c r="AU236" s="5">
        <f>SUMIFS( E3:E1439, F3:F1439,"Hombre", D3:D1439,"Lengua y literatura francesas")</f>
        <v>0</v>
      </c>
      <c r="AV236" s="5">
        <f>SUMIFS( E3:E1439, F3:F1439,"Mujer", D3:D1439,"Lengua y literatura francesas")</f>
        <v>4</v>
      </c>
      <c r="AW236" s="19">
        <f>SUMIFS( E3:E1439, A3:A1439,"2018", D3:D1439,"Lengua y literatura francesas")</f>
        <v>0</v>
      </c>
      <c r="AX236" s="5">
        <f>SUMIFS( E3:E1439, A3:A1439,"2019", D3:D1439,"Lengua y literatura francesas")</f>
        <v>0</v>
      </c>
      <c r="AY236" s="5">
        <f>SUMIFS( E3:E1439, A3:A1439,"2020", D3:D1439,"Lengua y literatura francesas")</f>
        <v>4</v>
      </c>
      <c r="AZ236" s="5">
        <f>SUMIFS( E3:E1439, A3:A1439,"2021", D3:D1439,"Lengua y literatura francesas")</f>
        <v>0</v>
      </c>
      <c r="BA236" s="5">
        <f>SUMIFS( E3:E1439, A3:A1439,"2022", D3:D1439,"Lengua y literatura francesas")</f>
        <v>0</v>
      </c>
      <c r="BB236" s="19">
        <f>SUMIFS( E3:E1439, N3:N1439,"2018", D3:D1439,"Lengua y literatura francesas")</f>
        <v>0</v>
      </c>
      <c r="BC236" s="5">
        <f>SUMIFS( E3:E1439, N3:N1439,"2019", D3:D1439,"Lengua y literatura francesas")</f>
        <v>0</v>
      </c>
      <c r="BD236" s="5">
        <f>SUMIFS( E3:E1439, N3:N1439,"2020", D3:D1439,"Lengua y literatura francesas")</f>
        <v>4</v>
      </c>
      <c r="BE236" s="5">
        <f>SUMIFS( E3:E1439, N3:N1439,"2021", D3:D1439,"Lengua y literatura francesas")</f>
        <v>0</v>
      </c>
      <c r="BF236" s="5">
        <f>SUMIFS( E3:E1439, N3:N1439,"2022", D3:D1439,"Lengua y literatura francesas")</f>
        <v>0</v>
      </c>
      <c r="BG236" s="14">
        <f>AVERAGEIFS( E3:E1439, D3:D1439,"Lengua y literatura francesas")</f>
        <v>2</v>
      </c>
      <c r="BH236" s="14"/>
      <c r="BI236" s="14"/>
      <c r="BJ236" s="14"/>
      <c r="BK236" s="14"/>
      <c r="BL236" s="37"/>
      <c r="BM236" s="14"/>
      <c r="BN236" s="14"/>
      <c r="BO236" s="14"/>
      <c r="BP236" s="14"/>
      <c r="BQ236" s="14"/>
      <c r="BR236" s="14"/>
    </row>
    <row r="237" spans="1:70" ht="15" customHeight="1">
      <c r="A237" s="24">
        <v>2018</v>
      </c>
      <c r="B237" s="24" t="s">
        <v>136</v>
      </c>
      <c r="C237" s="24" t="s">
        <v>137</v>
      </c>
      <c r="D237" s="24" t="s">
        <v>141</v>
      </c>
      <c r="E237" s="23">
        <v>46</v>
      </c>
      <c r="F237" s="24" t="s">
        <v>211</v>
      </c>
      <c r="G237" s="24" t="s">
        <v>225</v>
      </c>
      <c r="H237" s="23" t="s">
        <v>226</v>
      </c>
      <c r="I237" s="24" t="s">
        <v>226</v>
      </c>
      <c r="J237" s="23" t="s">
        <v>226</v>
      </c>
      <c r="K237" s="24" t="s">
        <v>226</v>
      </c>
      <c r="L237" s="23"/>
      <c r="M237" s="26" t="s">
        <v>338</v>
      </c>
      <c r="N237" s="24">
        <v>2019</v>
      </c>
      <c r="O237" s="73" t="s">
        <v>193</v>
      </c>
      <c r="P237" s="68"/>
      <c r="Q237" s="68"/>
      <c r="R237" s="68"/>
      <c r="S237" s="68"/>
      <c r="T237" s="69"/>
      <c r="U237" s="5">
        <f>COUNTIFS(   D4:D1440,"Lengua y Literatura inglesas")</f>
        <v>7</v>
      </c>
      <c r="V237" s="5">
        <f>COUNTIFS(   D4:D1440,"Lengua y Literatura inglesas",F4:F1440,"Hombre")</f>
        <v>2</v>
      </c>
      <c r="W237" s="5">
        <f>COUNTIFS(   D4:D1440,"Lengua y Literatura inglesas",F4:F1440,"Mujer")</f>
        <v>5</v>
      </c>
      <c r="X237" s="19">
        <f>COUNTIFS(   A4:A1440,"2018", D4:D1440,"Lengua y Literatura inglesas")</f>
        <v>1</v>
      </c>
      <c r="Y237" s="5">
        <f>COUNTIFS(   A4:A1440,"2019", D4:D1440,"Lengua y Literatura inglesas")</f>
        <v>2</v>
      </c>
      <c r="Z237" s="5">
        <f>COUNTIFS(   A4:A1440,"2020", D4:D1440,"Lengua y Literatura inglesas")</f>
        <v>1</v>
      </c>
      <c r="AA237" s="5">
        <f>COUNTIFS(   A4:A1440,"2021", D4:D1440,"Lengua y Literatura inglesas")</f>
        <v>3</v>
      </c>
      <c r="AB237" s="5">
        <f>COUNTIFS(  A4:A1440,"2022", D4:D1440,"Lengua y Literatura inglesas")</f>
        <v>0</v>
      </c>
      <c r="AC237" s="19">
        <f>COUNTIFS(   N4:N1440,"2018", D4:D1440,"Lengua y Literatura inglesas")</f>
        <v>1</v>
      </c>
      <c r="AD237" s="5">
        <f>COUNTIFS(   N4:N1440,"2019", D4:D1440,"Lengua y Literatura inglesas")</f>
        <v>0</v>
      </c>
      <c r="AE237" s="5">
        <f>COUNTIFS(   N4:N1440,"2020", D4:D1440,"Lengua y Literatura inglesas")</f>
        <v>3</v>
      </c>
      <c r="AF237" s="5">
        <f>COUNTIFS(   N4:N1440,"2021", D4:D1440,"Lengua y Literatura inglesas")</f>
        <v>3</v>
      </c>
      <c r="AG237" s="5">
        <f>COUNTIFS(   N4:N1440,"2022", D4:D1440,"Lengua y Literatura inglesas")</f>
        <v>0</v>
      </c>
      <c r="AH237" s="5">
        <f>COUNTIFS(   D4:D1440,"Lengua y Literatura inglesas",G4:G1440,"Sí")</f>
        <v>1</v>
      </c>
      <c r="AI237" s="5">
        <f>COUNTIFS(   D4:D1440,"Lengua y Literatura inglesas",G4:G1440,"No")</f>
        <v>6</v>
      </c>
      <c r="AJ237" s="5">
        <f>SUMIFS( E4:E1440, D4:D1440,"Lengua y Literatura inglesas",G4:G1440,"Sí")</f>
        <v>2</v>
      </c>
      <c r="AK237" s="5">
        <f>SUMIFS( E4:E1440, D4:D1440,"Lengua y Literatura inglesas",G4:G1440,"No")</f>
        <v>2</v>
      </c>
      <c r="AL237" s="5">
        <f>COUNTIFS(   D4:D1440,"Lengua y Literatura inglesas",H4:H1440,"Sí")</f>
        <v>3</v>
      </c>
      <c r="AM237" s="5">
        <f>COUNTIFS(   D4:D1440,"Lengua y Literatura inglesas",I4:I1440,"Sí")</f>
        <v>3</v>
      </c>
      <c r="AN237" s="5">
        <f>COUNTIFS(   D4:D1440,"Lengua y Literatura inglesas",I4:I1440,"No")</f>
        <v>4</v>
      </c>
      <c r="AO237" s="5">
        <f>SUMIFS( E4:E1440, D4:D1440,"Lengua y Literatura inglesas",I4:I1440,"Sí")</f>
        <v>1</v>
      </c>
      <c r="AP237" s="5">
        <f>SUMIFS( E4:E1440, D4:D1440,"Lengua y Literatura inglesas",I4:I1440,"No")</f>
        <v>3</v>
      </c>
      <c r="AQ237" s="5">
        <f>COUNTIFS(   D4:D1440,"Lengua y Literatura inglesas",J4:J1440,"Sí")</f>
        <v>7</v>
      </c>
      <c r="AR237" s="5">
        <f>COUNTIFS(   D4:D1440,"Lengua y Literatura inglesas",K4:K1440,"Sí")</f>
        <v>1</v>
      </c>
      <c r="AS237" s="5">
        <f>COUNTIFS(   D4:D1440,"Lengua y Literatura inglesas",L4:L1440,"Sí")</f>
        <v>0</v>
      </c>
      <c r="AT237" s="5">
        <f>SUMIFS( E4:E1440, D4:D1440,"Lengua y Literatura inglesas")</f>
        <v>4</v>
      </c>
      <c r="AU237" s="5">
        <f>SUMIFS( E4:E1440, F4:F1440,"Hombre", D4:D1440,"Lengua y Literatura inglesas")</f>
        <v>1</v>
      </c>
      <c r="AV237" s="5">
        <f>SUMIFS( E4:E1440, F4:F1440,"Mujer", D4:D1440,"Lengua y Literatura inglesas")</f>
        <v>3</v>
      </c>
      <c r="AW237" s="19">
        <f>SUMIFS( E4:E1440, A4:A1440,"2018", D4:D1440,"Lengua y Literatura inglesas")</f>
        <v>0</v>
      </c>
      <c r="AX237" s="5">
        <f>SUMIFS( E4:E1440, A4:A1440,"2019", D4:D1440,"Lengua y Literatura inglesas")</f>
        <v>2</v>
      </c>
      <c r="AY237" s="5">
        <f>SUMIFS( E4:E1440, A4:A1440,"2020", D4:D1440,"Lengua y Literatura inglesas")</f>
        <v>1</v>
      </c>
      <c r="AZ237" s="5">
        <f>SUMIFS( E4:E1440, A4:A1440,"2021", D4:D1440,"Lengua y Literatura inglesas")</f>
        <v>1</v>
      </c>
      <c r="BA237" s="5">
        <f>SUMIFS( E4:E1440, A4:A1440,"2022", D4:D1440,"Lengua y Literatura inglesas")</f>
        <v>0</v>
      </c>
      <c r="BB237" s="19">
        <f>SUMIFS( E4:E1440, N4:N1440,"2018", D4:D1440,"Lengua y Literatura inglesas")</f>
        <v>0</v>
      </c>
      <c r="BC237" s="5">
        <f>SUMIFS( E4:E1440, N4:N1440,"2019", D4:D1440,"Lengua y Literatura inglesas")</f>
        <v>0</v>
      </c>
      <c r="BD237" s="5">
        <f>SUMIFS( E4:E1440, N4:N1440,"2020", D4:D1440,"Lengua y Literatura inglesas")</f>
        <v>3</v>
      </c>
      <c r="BE237" s="5">
        <f>SUMIFS( E4:E1440, N4:N1440,"2021", D4:D1440,"Lengua y Literatura inglesas")</f>
        <v>1</v>
      </c>
      <c r="BF237" s="5">
        <f>SUMIFS( E4:E1440, N4:N1440,"2022", D4:D1440,"Lengua y Literatura inglesas")</f>
        <v>0</v>
      </c>
      <c r="BG237" s="14">
        <f>AVERAGEIFS( E4:E1440, D4:D1440,"Lengua y Literatura inglesas")</f>
        <v>1.3333333333333333</v>
      </c>
      <c r="BH237" s="14">
        <v>0</v>
      </c>
      <c r="BI237" s="14">
        <v>0</v>
      </c>
      <c r="BJ237" s="14">
        <f>AVERAGEIFS( E4:E1440, A4:A1440,"2020", D4:D1440,"Lengua y Literatura inglesas")</f>
        <v>1</v>
      </c>
      <c r="BK237" s="14">
        <v>0</v>
      </c>
      <c r="BL237" s="37" t="e">
        <f>AVERAGEIFS( E4:E1440, A4:A1440,"2022", D4:D1440,"Lengua y Literatura inglesas")</f>
        <v>#DIV/0!</v>
      </c>
      <c r="BM237" s="14">
        <v>1.5</v>
      </c>
      <c r="BN237" s="14">
        <v>0</v>
      </c>
      <c r="BO237" s="14">
        <v>0</v>
      </c>
      <c r="BP237" s="14">
        <v>3</v>
      </c>
      <c r="BQ237" s="14">
        <v>0</v>
      </c>
      <c r="BR237" s="14">
        <v>0</v>
      </c>
    </row>
    <row r="238" spans="1:70" ht="15" customHeight="1">
      <c r="A238" s="24">
        <v>2018</v>
      </c>
      <c r="B238" s="24" t="s">
        <v>136</v>
      </c>
      <c r="C238" s="24" t="s">
        <v>176</v>
      </c>
      <c r="D238" s="24"/>
      <c r="E238" s="23"/>
      <c r="F238" s="24" t="s">
        <v>211</v>
      </c>
      <c r="G238" s="24" t="s">
        <v>225</v>
      </c>
      <c r="H238" s="23" t="s">
        <v>225</v>
      </c>
      <c r="I238" s="24" t="s">
        <v>226</v>
      </c>
      <c r="J238" s="23" t="s">
        <v>226</v>
      </c>
      <c r="K238" s="24" t="s">
        <v>226</v>
      </c>
      <c r="L238" s="23"/>
      <c r="M238" s="26" t="s">
        <v>339</v>
      </c>
      <c r="N238" s="24">
        <v>2019</v>
      </c>
      <c r="O238" s="73" t="s">
        <v>687</v>
      </c>
      <c r="P238" s="68"/>
      <c r="Q238" s="68"/>
      <c r="R238" s="68"/>
      <c r="S238" s="68"/>
      <c r="T238" s="69"/>
      <c r="U238" s="5">
        <f>COUNTIFS(   D4:D1440,"Lingüística teórica y aplicada y Teoría de la literatura y literatura comparada")</f>
        <v>18</v>
      </c>
      <c r="V238" s="5">
        <f>COUNTIFS(   D4:D1440,"Lingüística teórica y aplicada y Teoría de la literatura y literatura comparada",F4:F1440,"Hombre")</f>
        <v>10</v>
      </c>
      <c r="W238" s="5">
        <f>COUNTIFS(   D4:D1440,"Lingüística teórica y aplicada y Teoría de la literatura y literatura comparada",F4:F1440,"Mujer")</f>
        <v>8</v>
      </c>
      <c r="X238" s="19">
        <f>COUNTIFS(   A4:A1440,"2018", D4:D1440,"Lingüística teórica y aplicada y Teoría de la literatura y literatura comparada")</f>
        <v>4</v>
      </c>
      <c r="Y238" s="5">
        <f>COUNTIFS(   A4:A1440,"2019", D4:D1440,"Lingüística teórica y aplicada y Teoría de la literatura y literatura comparada")</f>
        <v>5</v>
      </c>
      <c r="Z238" s="5">
        <f>COUNTIFS(   A4:A1440,"2020", D4:D1440,"Lingüística teórica y aplicada y Teoría de la literatura y literatura comparada")</f>
        <v>3</v>
      </c>
      <c r="AA238" s="5">
        <f>COUNTIFS(   A4:A1440,"2021", D4:D1440,"Lingüística teórica y aplicada y Teoría de la literatura y literatura comparada")</f>
        <v>6</v>
      </c>
      <c r="AB238" s="5">
        <f>COUNTIFS(  A4:A1440,"2022", D4:D1440,"Lingüística teórica y aplicada y Teoría de la literatura y literatura comparada")</f>
        <v>0</v>
      </c>
      <c r="AC238" s="19">
        <f>COUNTIFS(   N4:N1440,"2018", D4:D1440,"Lingüística teórica y aplicada y Teoría de la literatura y literatura comparada")</f>
        <v>2</v>
      </c>
      <c r="AD238" s="5">
        <f>COUNTIFS(   N4:N1440,"2019", D4:D1440,"Lingüística teórica y aplicada y Teoría de la literatura y literatura comparada")</f>
        <v>3</v>
      </c>
      <c r="AE238" s="5">
        <f>COUNTIFS(   N4:N1440,"2020", D4:D1440,"Lingüística teórica y aplicada y Teoría de la literatura y literatura comparada")</f>
        <v>6</v>
      </c>
      <c r="AF238" s="5">
        <f>COUNTIFS(   N4:N1440,"2021", D4:D1440,"Lingüística teórica y aplicada y Teoría de la literatura y literatura comparada")</f>
        <v>3</v>
      </c>
      <c r="AG238" s="5">
        <f>COUNTIFS(   N4:N1440,"2022", D4:D1440,"Lingüística teórica y aplicada y Teoría de la literatura y literatura comparada")</f>
        <v>4</v>
      </c>
      <c r="AH238" s="5">
        <f>COUNTIFS(   D4:D1440,"Lingüística teórica y aplicada y Teoría de la literatura y literatura comparada",G4:G1440,"Sí")</f>
        <v>0</v>
      </c>
      <c r="AI238" s="5">
        <f>COUNTIFS(   D4:D1440,"Lingüística teórica y aplicada y Teoría de la literatura y literatura comparada",G4:G1440,"No")</f>
        <v>18</v>
      </c>
      <c r="AJ238" s="5">
        <f>SUMIFS( E4:E1440, D4:D1440,"Lingüística teórica y aplicada y Teoría de la literatura y literatura comparada",G4:G1440,"Sí")</f>
        <v>0</v>
      </c>
      <c r="AK238" s="5">
        <f>SUMIFS( E4:E1440, D4:D1440,"Lingüística teórica y aplicada y Teoría de la literatura y literatura comparada",G4:G1440,"No")</f>
        <v>126</v>
      </c>
      <c r="AL238" s="5">
        <f>COUNTIFS(   D4:D1440,"Lingüística teórica y aplicada y Teoría de la literatura y literatura comparada",H4:H1440,"Sí")</f>
        <v>12</v>
      </c>
      <c r="AM238" s="5">
        <f>COUNTIFS(   D4:D1440,"Lingüística teórica y aplicada y Teoría de la literatura y literatura comparada",I4:I1440,"Sí")</f>
        <v>6</v>
      </c>
      <c r="AN238" s="5">
        <f>COUNTIFS(   D4:D1440,"Lingüística teórica y aplicada y Teoría de la literatura y literatura comparada",I4:I1440,"No")</f>
        <v>12</v>
      </c>
      <c r="AO238" s="5">
        <f>SUMIFS( E4:E1440, D4:D1440,"Lingüística teórica y aplicada y Teoría de la literatura y literatura comparada",I4:I1440,"Sí")</f>
        <v>26</v>
      </c>
      <c r="AP238" s="5">
        <f>SUMIFS( E4:E1440, D4:D1440,"Lingüística teórica y aplicada y Teoría de la literatura y literatura comparada",I4:I1440,"No")</f>
        <v>100</v>
      </c>
      <c r="AQ238" s="5">
        <f>COUNTIFS(   D4:D1440,"Lingüística teórica y aplicada y Teoría de la literatura y literatura comparada",J4:J1440,"Sí")</f>
        <v>18</v>
      </c>
      <c r="AR238" s="5">
        <f>COUNTIFS(   D4:D1440,"Lingüística teórica y aplicada y Teoría de la literatura y literatura comparada",K4:K1440,"Sí")</f>
        <v>7</v>
      </c>
      <c r="AS238" s="5">
        <f>COUNTIFS(   D4:D1440,"Lingüística teórica y aplicada y Teoría de la literatura y literatura comparada",L4:L1440,"Sí")</f>
        <v>0</v>
      </c>
      <c r="AT238" s="5">
        <f>SUMIFS( E4:E1440, D4:D1440,"Lingüística teórica y aplicada y Teoría de la literatura y literatura comparada")</f>
        <v>126</v>
      </c>
      <c r="AU238" s="5">
        <f>SUMIFS( E4:E1440, F4:F1440,"Hombre", D4:D1440,"Lingüística teórica y aplicada y Teoría de la literatura y literatura comparada")</f>
        <v>35</v>
      </c>
      <c r="AV238" s="5">
        <f>SUMIFS( E4:E1440, F4:F1440,"Mujer", D4:D1440,"Lingüística teórica y aplicada y Teoría de la literatura y literatura comparada")</f>
        <v>91</v>
      </c>
      <c r="AW238" s="19">
        <f>SUMIFS( E4:E1440, A4:A1440,"2018", D4:D1440,"Lingüística teórica y aplicada y Teoría de la literatura y literatura comparada")</f>
        <v>9</v>
      </c>
      <c r="AX238" s="5">
        <f>SUMIFS( E4:E1440, A4:A1440,"2019", D4:D1440,"Lingüística teórica y aplicada y Teoría de la literatura y literatura comparada")</f>
        <v>78</v>
      </c>
      <c r="AY238" s="5">
        <f>SUMIFS( E4:E1440, A4:A1440,"2020", D4:D1440,"Lingüística teórica y aplicada y Teoría de la literatura y literatura comparada")</f>
        <v>3</v>
      </c>
      <c r="AZ238" s="5">
        <f>SUMIFS( E4:E1440, A4:A1440,"2021", D4:D1440,"Lingüística teórica y aplicada y Teoría de la literatura y literatura comparada")</f>
        <v>36</v>
      </c>
      <c r="BA238" s="5">
        <f>SUMIFS( E4:E1440, A4:A1440,"2022", D4:D1440,"Lingüística teórica y aplicada y Teoría de la literatura y literatura comparada")</f>
        <v>0</v>
      </c>
      <c r="BB238" s="19">
        <f>SUMIFS( E4:E1440, N4:N1440,"2018", D4:D1440,"Lingüística teórica y aplicada y Teoría de la literatura y literatura comparada")</f>
        <v>8</v>
      </c>
      <c r="BC238" s="5">
        <f>SUMIFS( E4:E1440, N4:N1440,"2019", D4:D1440,"Lingüística teórica y aplicada y Teoría de la literatura y literatura comparada")</f>
        <v>16</v>
      </c>
      <c r="BD238" s="5">
        <f>SUMIFS( E4:E1440, N4:N1440,"2020", D4:D1440,"Lingüística teórica y aplicada y Teoría de la literatura y literatura comparada")</f>
        <v>65</v>
      </c>
      <c r="BE238" s="5">
        <f>SUMIFS( E4:E1440, N4:N1440,"2021", D4:D1440,"Lingüística teórica y aplicada y Teoría de la literatura y literatura comparada")</f>
        <v>2</v>
      </c>
      <c r="BF238" s="5">
        <f>SUMIFS( E4:E1440, N4:N1440,"2022", D4:D1440,"Lingüística teórica y aplicada y Teoría de la literatura y literatura comparada")</f>
        <v>35</v>
      </c>
      <c r="BG238" s="14">
        <f>AVERAGEIFS( E4:E1440, D4:D1440,"Lingüística teórica y aplicada y Teoría de la literatura y literatura comparada")</f>
        <v>10.5</v>
      </c>
      <c r="BH238" s="14">
        <v>0</v>
      </c>
      <c r="BI238" s="14">
        <v>0</v>
      </c>
      <c r="BJ238" s="14">
        <v>0</v>
      </c>
      <c r="BK238" s="14">
        <f>AVERAGEIFS( E4:E1440, A4:A1440,"2021", D4:D1440,"Lingüística teórica y aplicada y Teoría de la literatura y literatura comparada")</f>
        <v>12</v>
      </c>
      <c r="BL238" s="37" t="e">
        <f>AVERAGEIFS( E4:E1440, A4:A1440,"2022", D4:D1440,"Lingüística teórica y aplicada y Teoría de la literatura y literatura comparada")</f>
        <v>#DIV/0!</v>
      </c>
      <c r="BM238" s="14">
        <v>0.66666666666666663</v>
      </c>
      <c r="BN238" s="14">
        <v>0</v>
      </c>
      <c r="BO238" s="14">
        <v>0</v>
      </c>
      <c r="BP238" s="14">
        <v>0</v>
      </c>
      <c r="BQ238" s="14">
        <v>1</v>
      </c>
      <c r="BR238" s="14">
        <v>0.5</v>
      </c>
    </row>
    <row r="239" spans="1:70" ht="15" customHeight="1">
      <c r="A239" s="24">
        <v>2018</v>
      </c>
      <c r="B239" s="24" t="s">
        <v>136</v>
      </c>
      <c r="C239" s="24" t="s">
        <v>176</v>
      </c>
      <c r="D239" s="24" t="s">
        <v>181</v>
      </c>
      <c r="E239" s="23"/>
      <c r="F239" s="24" t="s">
        <v>207</v>
      </c>
      <c r="G239" s="24" t="s">
        <v>225</v>
      </c>
      <c r="H239" s="23" t="s">
        <v>225</v>
      </c>
      <c r="I239" s="24" t="s">
        <v>225</v>
      </c>
      <c r="J239" s="23" t="s">
        <v>226</v>
      </c>
      <c r="K239" s="24" t="s">
        <v>225</v>
      </c>
      <c r="L239" s="23"/>
      <c r="M239" s="26" t="s">
        <v>340</v>
      </c>
      <c r="N239" s="24">
        <v>2019</v>
      </c>
      <c r="O239" s="73" t="s">
        <v>191</v>
      </c>
      <c r="P239" s="68"/>
      <c r="Q239" s="68"/>
      <c r="R239" s="68"/>
      <c r="S239" s="68"/>
      <c r="T239" s="69"/>
      <c r="U239" s="5">
        <f>COUNTIFS(   D4:D1440,"Literatura Española e hispanoamericana")</f>
        <v>11</v>
      </c>
      <c r="V239" s="5">
        <f>COUNTIFS(   D4:D1440,"Literatura Española e hispanoamericana",F4:F1440,"Hombre")</f>
        <v>5</v>
      </c>
      <c r="W239" s="5">
        <f>COUNTIFS(   D4:D1440,"Literatura Española e hispanoamericana",F4:F1440,"Mujer")</f>
        <v>6</v>
      </c>
      <c r="X239" s="19">
        <f>COUNTIFS(   A4:A1440,"2018", D4:D1440,"Literatura Española e hispanoamericana")</f>
        <v>3</v>
      </c>
      <c r="Y239" s="5">
        <f>COUNTIFS(   A4:A1440,"2019", D4:D1440,"Literatura Española e hispanoamericana")</f>
        <v>4</v>
      </c>
      <c r="Z239" s="5">
        <f>COUNTIFS(   A4:A1440,"2020", D4:D1440,"Literatura Española e hispanoamericana")</f>
        <v>4</v>
      </c>
      <c r="AA239" s="5">
        <f>COUNTIFS(   A4:A1440,"2021", D4:D1440,"Literatura Española e hispanoamericana")</f>
        <v>0</v>
      </c>
      <c r="AB239" s="5">
        <f>COUNTIFS(  A4:A1440,"2022", D4:D1440,"Literatura Española e hispanoamericana")</f>
        <v>0</v>
      </c>
      <c r="AC239" s="19">
        <f>COUNTIFS(   N4:N1440,"2018", D4:D1440,"Literatura Española e hispanoamericana")</f>
        <v>0</v>
      </c>
      <c r="AD239" s="5">
        <f>COUNTIFS(   N4:N1440,"2019", D4:D1440,"Literatura Española e hispanoamericana")</f>
        <v>6</v>
      </c>
      <c r="AE239" s="5">
        <f>COUNTIFS(   N4:N1440,"2020", D4:D1440,"Literatura Española e hispanoamericana")</f>
        <v>2</v>
      </c>
      <c r="AF239" s="5">
        <f>COUNTIFS(   N4:N1440,"2021", D4:D1440,"Literatura Española e hispanoamericana")</f>
        <v>3</v>
      </c>
      <c r="AG239" s="5">
        <f>COUNTIFS(   N4:N1440,"2022", D4:D1440,"Literatura Española e hispanoamericana")</f>
        <v>0</v>
      </c>
      <c r="AH239" s="5">
        <f>COUNTIFS(   D4:D1440,"Literatura Española e hispanoamericana",G4:G1440,"Sí")</f>
        <v>1</v>
      </c>
      <c r="AI239" s="5">
        <f>COUNTIFS(   D4:D1440,"Literatura Española e hispanoamericana",G4:G1440,"No")</f>
        <v>10</v>
      </c>
      <c r="AJ239" s="5">
        <f>SUMIFS( E4:E1440, D4:D1440,"Literatura Española e hispanoamericana",G4:G1440,"Sí")</f>
        <v>3</v>
      </c>
      <c r="AK239" s="5">
        <f>SUMIFS( E4:E1440, D4:D1440,"Literatura Española e hispanoamericana",G4:G1440,"No")</f>
        <v>14</v>
      </c>
      <c r="AL239" s="5">
        <f>COUNTIFS(   D4:D1440,"Literatura Española e hispanoamericana",H4:H1440,"Sí")</f>
        <v>9</v>
      </c>
      <c r="AM239" s="5">
        <f>COUNTIFS(   D4:D1440,"Literatura Española e hispanoamericana",I4:I1440,"Sí")</f>
        <v>6</v>
      </c>
      <c r="AN239" s="5">
        <f>COUNTIFS(   D4:D1440,"Literatura Española e hispanoamericana",I4:I1440,"No")</f>
        <v>5</v>
      </c>
      <c r="AO239" s="5">
        <f>SUMIFS( E4:E1440, D4:D1440,"Literatura Española e hispanoamericana",I4:I1440,"Sí")</f>
        <v>11</v>
      </c>
      <c r="AP239" s="5">
        <f>SUMIFS( E4:E1440, D4:D1440,"Literatura Española e hispanoamericana",I4:I1440,"No")</f>
        <v>6</v>
      </c>
      <c r="AQ239" s="5">
        <f>COUNTIFS(   D4:D1440,"Literatura Española e hispanoamericana",J4:J1440,"Sí")</f>
        <v>11</v>
      </c>
      <c r="AR239" s="5">
        <f>COUNTIFS(   D4:D1440,"Literatura Española e hispanoamericana",K4:K1440,"Sí")</f>
        <v>5</v>
      </c>
      <c r="AS239" s="5">
        <f>COUNTIFS(   D4:D1440,"Literatura Española e hispanoamericana",L4:L1440,"Sí")</f>
        <v>0</v>
      </c>
      <c r="AT239" s="5">
        <f>SUMIFS( E4:E1440, D4:D1440,"Literatura Española e hispanoamericana")</f>
        <v>17</v>
      </c>
      <c r="AU239" s="5">
        <f>SUMIFS( E4:E1440, F4:F1440,"Hombre", D4:D1440,"Literatura Española e hispanoamericana")</f>
        <v>8</v>
      </c>
      <c r="AV239" s="5">
        <f>SUMIFS( E4:E1440, F4:F1440,"Mujer", D4:D1440,"Literatura Española e hispanoamericana")</f>
        <v>9</v>
      </c>
      <c r="AW239" s="19">
        <f>SUMIFS( E4:E1440, A4:A1440,"2018", D4:D1440,"Literatura Española e hispanoamericana")</f>
        <v>5</v>
      </c>
      <c r="AX239" s="5">
        <f>SUMIFS( E4:E1440, A4:A1440,"2019", D4:D1440,"Literatura Española e hispanoamericana")</f>
        <v>7</v>
      </c>
      <c r="AY239" s="5">
        <f>SUMIFS( E4:E1440, A4:A1440,"2020", D4:D1440,"Literatura Española e hispanoamericana")</f>
        <v>5</v>
      </c>
      <c r="AZ239" s="5">
        <f>SUMIFS( E4:E1440, A4:A1440,"2021", D4:D1440,"Literatura Española e hispanoamericana")</f>
        <v>0</v>
      </c>
      <c r="BA239" s="5">
        <f>SUMIFS( E4:E1440, A4:A1440,"2022", D4:D1440,"Literatura Española e hispanoamericana")</f>
        <v>0</v>
      </c>
      <c r="BB239" s="19">
        <f>SUMIFS( E4:E1440, N4:N1440,"2018", D4:D1440,"Literatura Española e hispanoamericana")</f>
        <v>0</v>
      </c>
      <c r="BC239" s="5">
        <f>SUMIFS( E4:E1440, N4:N1440,"2019", D4:D1440,"Literatura Española e hispanoamericana")</f>
        <v>10</v>
      </c>
      <c r="BD239" s="5">
        <f>SUMIFS( E4:E1440, N4:N1440,"2020", D4:D1440,"Literatura Española e hispanoamericana")</f>
        <v>2</v>
      </c>
      <c r="BE239" s="5">
        <f>SUMIFS( E4:E1440, N4:N1440,"2021", D4:D1440,"Literatura Española e hispanoamericana")</f>
        <v>5</v>
      </c>
      <c r="BF239" s="5">
        <f>SUMIFS( E4:E1440, N4:N1440,"2022", D4:D1440,"Literatura Española e hispanoamericana")</f>
        <v>0</v>
      </c>
      <c r="BG239" s="14">
        <f>AVERAGEIFS( E4:E1440, D4:D1440,"Literatura Española e hispanoamericana")</f>
        <v>1.8888888888888888</v>
      </c>
      <c r="BH239" s="14">
        <v>0</v>
      </c>
      <c r="BI239" s="14">
        <v>0</v>
      </c>
      <c r="BJ239" s="14">
        <v>0</v>
      </c>
      <c r="BK239" s="14" t="e">
        <f>AVERAGEIFS( E4:E1440, A4:A1440,"2021", D4:D1440,"Literatura Española e hispanoamericana")</f>
        <v>#DIV/0!</v>
      </c>
      <c r="BL239" s="37" t="e">
        <f>AVERAGEIFS( E4:E1440, A4:A1440,"2022", D4:D1440,"Literatura Española e hispanoamericana")</f>
        <v>#DIV/0!</v>
      </c>
      <c r="BM239" s="14">
        <v>0.8</v>
      </c>
      <c r="BN239" s="14">
        <v>0</v>
      </c>
      <c r="BO239" s="14">
        <v>0</v>
      </c>
      <c r="BP239" s="14">
        <v>0</v>
      </c>
      <c r="BQ239" s="14">
        <v>1</v>
      </c>
      <c r="BR239" s="14">
        <v>0.75</v>
      </c>
    </row>
    <row r="240" spans="1:70" ht="15" customHeight="1">
      <c r="A240" s="24">
        <v>2018</v>
      </c>
      <c r="B240" s="24" t="s">
        <v>4</v>
      </c>
      <c r="C240" s="24" t="s">
        <v>23</v>
      </c>
      <c r="D240" s="24" t="s">
        <v>27</v>
      </c>
      <c r="E240" s="23">
        <v>2</v>
      </c>
      <c r="F240" s="24" t="s">
        <v>211</v>
      </c>
      <c r="G240" s="24" t="s">
        <v>225</v>
      </c>
      <c r="H240" s="23" t="s">
        <v>226</v>
      </c>
      <c r="I240" s="24" t="s">
        <v>225</v>
      </c>
      <c r="J240" s="23" t="s">
        <v>226</v>
      </c>
      <c r="K240" s="24" t="s">
        <v>226</v>
      </c>
      <c r="L240" s="23"/>
      <c r="M240" s="26" t="s">
        <v>340</v>
      </c>
      <c r="N240" s="24">
        <v>2019</v>
      </c>
      <c r="O240" s="48" t="s">
        <v>563</v>
      </c>
      <c r="P240" s="49"/>
      <c r="Q240" s="49"/>
      <c r="R240" s="49"/>
      <c r="S240" s="49"/>
      <c r="T240" s="50"/>
      <c r="U240" s="5">
        <f>COUNTIFS(   D5:D1441,"Literatura y civilización bizantinas y estudios neogriegos")</f>
        <v>2</v>
      </c>
      <c r="V240" s="5">
        <f>COUNTIFS(   D5:D1441,"Literatura y civilización bizantinas y estudios neogriegos",F5:F1441,"Hombre")</f>
        <v>0</v>
      </c>
      <c r="W240" s="5">
        <f>COUNTIFS(   D5:D1441,"Literatura y civilización bizantinas y estudios neogriegos",F5:F1441,"Mujer")</f>
        <v>2</v>
      </c>
      <c r="X240" s="19">
        <f>COUNTIFS(   A5:A1441,"2018", D5:D1441,"Literatura y civilización bizantinas y estudios neogriegos")</f>
        <v>0</v>
      </c>
      <c r="Y240" s="5">
        <f>COUNTIFS(   A5:A1441,"2019", D5:D1441,"Literatura y civilización bizantinas y estudios neogriegos")</f>
        <v>0</v>
      </c>
      <c r="Z240" s="5">
        <f>COUNTIFS(   A5:A1441,"2020", D5:D1441,"Literatura y civilización bizantinas y estudios neogriegos")</f>
        <v>1</v>
      </c>
      <c r="AA240" s="5">
        <f>COUNTIFS(   A5:A1441,"2021", D5:D1441,"Literatura y civilización bizantinas y estudios neogriegos")</f>
        <v>1</v>
      </c>
      <c r="AB240" s="5">
        <f>COUNTIFS(  A5:A1441,"2022", D5:D1441,"Literatura y civilización bizantinas y estudios neogriegos")</f>
        <v>0</v>
      </c>
      <c r="AC240" s="19">
        <f>COUNTIFS(   N5:N1441,"2018", D5:D1441,"Literatura y civilización bizantinas y estudios neogriegos")</f>
        <v>0</v>
      </c>
      <c r="AD240" s="5">
        <f>COUNTIFS(   N5:N1441,"2019", D5:D1441,"Literatura y civilización bizantinas y estudios neogriegos")</f>
        <v>0</v>
      </c>
      <c r="AE240" s="5">
        <f>COUNTIFS(   N5:N1441,"2020", D5:D1441,"Literatura y civilización bizantinas y estudios neogriegos")</f>
        <v>0</v>
      </c>
      <c r="AF240" s="5">
        <f>COUNTIFS(   N5:N1441,"2021", D5:D1441,"Literatura y civilización bizantinas y estudios neogriegos")</f>
        <v>2</v>
      </c>
      <c r="AG240" s="5">
        <f>COUNTIFS(   N5:N1441,"2022", D5:D1441,"Literatura y civilización bizantinas y estudios neogriegos")</f>
        <v>0</v>
      </c>
      <c r="AH240" s="5">
        <f>COUNTIFS(   D5:D1441,"Literatura y civilización bizantinas y estudios neogriegos",G5:G1441,"Sí")</f>
        <v>0</v>
      </c>
      <c r="AI240" s="5">
        <f>COUNTIFS(   D5:D1441,"Literatura y civilización bizantinas y estudios neogriegos",G5:G1441,"No")</f>
        <v>2</v>
      </c>
      <c r="AJ240" s="5">
        <f>SUMIFS( E5:E1441, D5:D1441,"Literatura y civilización bizantinas y estudios neogriegos",G5:G1441,"Sí")</f>
        <v>0</v>
      </c>
      <c r="AK240" s="5">
        <f>SUMIFS( E5:E1441, D5:D1441,"Literatura y civilización bizantinas y estudios neogriegos",G5:G1441,"No")</f>
        <v>1</v>
      </c>
      <c r="AL240" s="5">
        <f>COUNTIFS(   D5:D1441,"Literatura y civilización bizantinas y estudios neogriegos",H5:H1441,"Sí")</f>
        <v>1</v>
      </c>
      <c r="AM240" s="5">
        <f>COUNTIFS(   D5:D1441,"Literatura y civilización bizantinas y estudios neogriegos",I5:I1441,"Sí")</f>
        <v>2</v>
      </c>
      <c r="AN240" s="5">
        <f>COUNTIFS(   D5:D1441,"Literatura y civilización bizantinas y estudios neogriegos",I5:I1441,"No")</f>
        <v>0</v>
      </c>
      <c r="AO240" s="5">
        <f>SUMIFS( E5:E1441, D5:D1441,"Literatura y civilización bizantinas y estudios neogriegos",I5:I1441,"Sí")</f>
        <v>1</v>
      </c>
      <c r="AP240" s="5">
        <f>SUMIFS( E5:E1441, D5:D1441,"Literatura y civilización bizantinas y estudios neogriegos",I5:I1441,"No")</f>
        <v>0</v>
      </c>
      <c r="AQ240" s="5">
        <f>COUNTIFS(   D5:D1441,"Literatura y civilización bizantinas y estudios neogriegos",J5:J1441,"Sí")</f>
        <v>2</v>
      </c>
      <c r="AR240" s="5">
        <f>COUNTIFS(   D5:D1441,"Literatura y civilización bizantinas y estudios neogriegos",K5:K1441,"Sí")</f>
        <v>0</v>
      </c>
      <c r="AS240" s="5">
        <f>COUNTIFS(   D5:D1441,"Literatura y civilización bizantinas y estudios neogriegos",L5:L1441,"Sí")</f>
        <v>0</v>
      </c>
      <c r="AT240" s="5">
        <f>SUMIFS( E5:E1441, D5:D1441,"Literatura y civilización bizantinas y estudios neogriegos")</f>
        <v>1</v>
      </c>
      <c r="AU240" s="5">
        <f>SUMIFS( E5:E1441, F5:F1441,"Hombre", D5:D1441,"Literatura y civilización bizantinas y estudios neogriegos")</f>
        <v>0</v>
      </c>
      <c r="AV240" s="5">
        <f>SUMIFS( E5:E1441, F5:F1441,"Mujer", D5:D1441,"Literatura y civilización bizantinas y estudios neogriegos")</f>
        <v>1</v>
      </c>
      <c r="AW240" s="19">
        <f>SUMIFS( E5:E1441, A5:A1441,"2018", D5:D1441,"Literatura y civilización bizantinas y estudios neogriegos")</f>
        <v>0</v>
      </c>
      <c r="AX240" s="5">
        <f>SUMIFS( E5:E1441, A5:A1441,"2019", D5:D1441,"Literatura y civilización bizantinas y estudios neogriegos")</f>
        <v>0</v>
      </c>
      <c r="AY240" s="5">
        <f>SUMIFS( E5:E1441, A5:A1441,"2020", D5:D1441,"Literatura y civilización bizantinas y estudios neogriegos")</f>
        <v>0</v>
      </c>
      <c r="AZ240" s="5">
        <f>SUMIFS( E5:E1441, A5:A1441,"2021", D5:D1441,"Literatura y civilización bizantinas y estudios neogriegos")</f>
        <v>1</v>
      </c>
      <c r="BA240" s="5">
        <f>SUMIFS( E5:E1441, A5:A1441,"2022", D5:D1441,"Literatura y civilización bizantinas y estudios neogriegos")</f>
        <v>0</v>
      </c>
      <c r="BB240" s="19">
        <f>SUMIFS( E5:E1441, N5:N1441,"2018", D5:D1441,"Literatura y civilización bizantinas y estudios neogriegos")</f>
        <v>0</v>
      </c>
      <c r="BC240" s="5">
        <f>SUMIFS( E5:E1441, N5:N1441,"2019", D5:D1441,"Literatura y civilización bizantinas y estudios neogriegos")</f>
        <v>0</v>
      </c>
      <c r="BD240" s="5">
        <f>SUMIFS( E5:E1441, N5:N1441,"2020", D5:D1441,"Literatura y civilización bizantinas y estudios neogriegos")</f>
        <v>0</v>
      </c>
      <c r="BE240" s="5">
        <f>SUMIFS( E5:E1441, N5:N1441,"2021", D5:D1441,"Literatura y civilización bizantinas y estudios neogriegos")</f>
        <v>1</v>
      </c>
      <c r="BF240" s="5">
        <f>SUMIFS( E5:E1441, N5:N1441,"2022", D5:D1441,"Literatura y civilización bizantinas y estudios neogriegos")</f>
        <v>0</v>
      </c>
      <c r="BG240" s="14">
        <f>AVERAGEIFS( E5:E1441, D5:D1441,"Literatura y civilización bizantinas y estudios neogriegos")</f>
        <v>1</v>
      </c>
      <c r="BH240" s="14"/>
      <c r="BI240" s="14"/>
      <c r="BJ240" s="14"/>
      <c r="BK240" s="14"/>
      <c r="BL240" s="37"/>
      <c r="BM240" s="14"/>
      <c r="BN240" s="14"/>
      <c r="BO240" s="14"/>
      <c r="BP240" s="14"/>
      <c r="BQ240" s="14"/>
      <c r="BR240" s="14"/>
    </row>
    <row r="241" spans="1:70" ht="15" customHeight="1">
      <c r="A241" s="24">
        <v>2018</v>
      </c>
      <c r="B241" s="24" t="s">
        <v>136</v>
      </c>
      <c r="C241" s="24" t="s">
        <v>189</v>
      </c>
      <c r="D241" s="24" t="s">
        <v>258</v>
      </c>
      <c r="E241" s="23">
        <v>1</v>
      </c>
      <c r="F241" s="24" t="s">
        <v>211</v>
      </c>
      <c r="G241" s="24" t="s">
        <v>225</v>
      </c>
      <c r="H241" s="23" t="s">
        <v>226</v>
      </c>
      <c r="I241" s="24" t="s">
        <v>226</v>
      </c>
      <c r="J241" s="23" t="s">
        <v>226</v>
      </c>
      <c r="K241" s="24" t="s">
        <v>226</v>
      </c>
      <c r="L241" s="23"/>
      <c r="M241" s="26" t="s">
        <v>340</v>
      </c>
      <c r="N241" s="24">
        <v>2019</v>
      </c>
      <c r="O241" s="73" t="s">
        <v>192</v>
      </c>
      <c r="P241" s="68"/>
      <c r="Q241" s="68"/>
      <c r="R241" s="68"/>
      <c r="S241" s="68"/>
      <c r="T241" s="69"/>
      <c r="U241" s="5">
        <f>COUNTIFS(   D4:D1440,"Traducción e Interpretación")</f>
        <v>12</v>
      </c>
      <c r="V241" s="5">
        <f>COUNTIFS(   D4:D1440,"Traducción e Interpretación",F4:F1440,"Hombre")</f>
        <v>4</v>
      </c>
      <c r="W241" s="5">
        <f>COUNTIFS(   D4:D1440,"Traducción e Interpretación",F4:F1440,"Mujer")</f>
        <v>8</v>
      </c>
      <c r="X241" s="19">
        <f>COUNTIFS(   A4:A1440,"2018", D4:D1440,"Traducción e Interpretación")</f>
        <v>5</v>
      </c>
      <c r="Y241" s="5">
        <f>COUNTIFS(   A4:A1440,"2019", D4:D1440,"Traducción e Interpretación")</f>
        <v>5</v>
      </c>
      <c r="Z241" s="5">
        <f>COUNTIFS(   A4:A1440,"2020", D4:D1440,"Traducción e Interpretación")</f>
        <v>0</v>
      </c>
      <c r="AA241" s="5">
        <f>COUNTIFS(   A4:A1440,"2021", D4:D1440,"Traducción e Interpretación")</f>
        <v>2</v>
      </c>
      <c r="AB241" s="5">
        <f>COUNTIFS(  A4:A1440,"2022", D4:D1440,"Traducción e Interpretación")</f>
        <v>0</v>
      </c>
      <c r="AC241" s="19">
        <f>COUNTIFS(   N4:N1440,"2018", D4:D1440,"Traducción e Interpretación")</f>
        <v>3</v>
      </c>
      <c r="AD241" s="5">
        <f>COUNTIFS(   N4:N1440,"2019", D4:D1440,"Traducción e Interpretación")</f>
        <v>4</v>
      </c>
      <c r="AE241" s="5">
        <f>COUNTIFS(   N4:N1440,"2020", D4:D1440,"Traducción e Interpretación")</f>
        <v>3</v>
      </c>
      <c r="AF241" s="5">
        <f>COUNTIFS(   N4:N1440,"2021", D4:D1440,"Traducción e Interpretación")</f>
        <v>0</v>
      </c>
      <c r="AG241" s="5">
        <f>COUNTIFS(   N4:N1440,"2022", D4:D1440,"Traducción e Interpretación")</f>
        <v>2</v>
      </c>
      <c r="AH241" s="5">
        <f>COUNTIFS(   D4:D1440,"Traducción e Interpretación",G4:G1440,"Sí")</f>
        <v>0</v>
      </c>
      <c r="AI241" s="5">
        <f>COUNTIFS(   D4:D1440,"Traducción e Interpretación",G4:G1440,"No")</f>
        <v>12</v>
      </c>
      <c r="AJ241" s="5">
        <f>SUMIFS( E4:E1440, D4:D1440,"Traducción e Interpretación",G4:G1440,"Sí")</f>
        <v>0</v>
      </c>
      <c r="AK241" s="5">
        <f>SUMIFS( E4:E1440, D4:D1440,"Traducción e Interpretación",G4:G1440,"No")</f>
        <v>40</v>
      </c>
      <c r="AL241" s="5">
        <f>COUNTIFS(   D4:D1440,"Traducción e Interpretación",H4:H1440,"Sí")</f>
        <v>9</v>
      </c>
      <c r="AM241" s="5">
        <f>COUNTIFS(   D4:D1440,"Traducción e Interpretación",I4:I1440,"Sí")</f>
        <v>9</v>
      </c>
      <c r="AN241" s="5">
        <f>COUNTIFS(   D4:D1440,"Traducción e Interpretación",I4:I1440,"No")</f>
        <v>3</v>
      </c>
      <c r="AO241" s="5">
        <f>SUMIFS( E4:E1440, D4:D1440,"Traducción e Interpretación",I4:I1440,"Sí")</f>
        <v>26</v>
      </c>
      <c r="AP241" s="5">
        <f>SUMIFS( E4:E1440, D4:D1440,"Traducción e Interpretación",I4:I1440,"No")</f>
        <v>14</v>
      </c>
      <c r="AQ241" s="5">
        <f>COUNTIFS(   D4:D1440,"Traducción e Interpretación",J4:J1440,"Sí")</f>
        <v>12</v>
      </c>
      <c r="AR241" s="5">
        <f>COUNTIFS(   D4:D1440,"Traducción e Interpretación",K4:K1440,"Sí")</f>
        <v>6</v>
      </c>
      <c r="AS241" s="5">
        <f>COUNTIFS(   D4:D1440,"Traducción e Interpretación",L4:L1440,"Sí")</f>
        <v>0</v>
      </c>
      <c r="AT241" s="5">
        <f>SUMIFS( E4:E1440, D4:D1440,"Traducción e Interpretación")</f>
        <v>40</v>
      </c>
      <c r="AU241" s="5">
        <f>SUMIFS( E4:E1440, F4:F1440,"Hombre", D4:D1440,"Traducción e Interpretación")</f>
        <v>10</v>
      </c>
      <c r="AV241" s="5">
        <f>SUMIFS( E4:E1440, F4:F1440,"Mujer", D4:D1440,"Traducción e Interpretación")</f>
        <v>30</v>
      </c>
      <c r="AW241" s="19">
        <f>SUMIFS( E4:E1440, A4:A1440,"2018", D4:D1440,"Traducción e Interpretación")</f>
        <v>12</v>
      </c>
      <c r="AX241" s="5">
        <f>SUMIFS( E4:E1440, A4:A1440,"2019", D4:D1440,"Traducción e Interpretación")</f>
        <v>16</v>
      </c>
      <c r="AY241" s="5">
        <f>SUMIFS( E4:E1440, A4:A1440,"2020", D4:D1440,"Traducción e Interpretación")</f>
        <v>0</v>
      </c>
      <c r="AZ241" s="5">
        <f>SUMIFS( E4:E1440, A4:A1440,"2021", D4:D1440,"Traducción e Interpretación")</f>
        <v>12</v>
      </c>
      <c r="BA241" s="5">
        <f>SUMIFS( E4:E1440, A4:A1440,"2022", D4:D1440,"Traducción e Interpretación")</f>
        <v>0</v>
      </c>
      <c r="BB241" s="19">
        <f>SUMIFS( E4:E1440, N4:N1440,"2018", D4:D1440,"Traducción e Interpretación")</f>
        <v>7</v>
      </c>
      <c r="BC241" s="5">
        <f>SUMIFS( E4:E1440, N4:N1440,"2019", D4:D1440,"Traducción e Interpretación")</f>
        <v>15</v>
      </c>
      <c r="BD241" s="5">
        <f>SUMIFS( E4:E1440, N4:N1440,"2020", D4:D1440,"Traducción e Interpretación")</f>
        <v>6</v>
      </c>
      <c r="BE241" s="5">
        <f>SUMIFS( E4:E1440, N4:N1440,"2021", D4:D1440,"Traducción e Interpretación")</f>
        <v>0</v>
      </c>
      <c r="BF241" s="5">
        <f>SUMIFS( E4:E1440, N4:N1440,"2022", D4:D1440,"Traducción e Interpretación")</f>
        <v>12</v>
      </c>
      <c r="BG241" s="14">
        <f>AVERAGEIFS( E4:E1440, D4:D1440,"Traducción e Interpretación")</f>
        <v>4</v>
      </c>
      <c r="BH241" s="14">
        <v>0</v>
      </c>
      <c r="BI241" s="14">
        <v>0</v>
      </c>
      <c r="BJ241" s="14" t="e">
        <f>AVERAGEIFS( E4:E1440, A4:A1440,"2020", D4:D1440,"Traducción e Interpretación")</f>
        <v>#DIV/0!</v>
      </c>
      <c r="BK241" s="14">
        <f>AVERAGEIFS( E4:E1440, A4:A1440,"2021", D4:D1440,"Traducción e Interpretación")</f>
        <v>6</v>
      </c>
      <c r="BL241" s="37" t="e">
        <f>AVERAGEIFS( E4:E1440, A4:A1440,"2022", D4:D1440,"Traducción e Interpretación")</f>
        <v>#DIV/0!</v>
      </c>
      <c r="BM241" s="14">
        <v>2.3333333333333335</v>
      </c>
      <c r="BN241" s="14">
        <v>0</v>
      </c>
      <c r="BO241" s="14">
        <v>0</v>
      </c>
      <c r="BP241" s="14">
        <v>5</v>
      </c>
      <c r="BQ241" s="14">
        <v>1</v>
      </c>
      <c r="BR241" s="14">
        <v>1</v>
      </c>
    </row>
    <row r="242" spans="1:70">
      <c r="A242" s="24">
        <v>2018</v>
      </c>
      <c r="B242" s="24" t="s">
        <v>78</v>
      </c>
      <c r="C242" s="24" t="s">
        <v>683</v>
      </c>
      <c r="D242" s="24" t="s">
        <v>115</v>
      </c>
      <c r="E242" s="23">
        <v>3</v>
      </c>
      <c r="F242" s="24" t="s">
        <v>207</v>
      </c>
      <c r="G242" s="24" t="s">
        <v>225</v>
      </c>
      <c r="H242" s="23" t="s">
        <v>226</v>
      </c>
      <c r="I242" s="24" t="s">
        <v>225</v>
      </c>
      <c r="J242" s="23" t="s">
        <v>226</v>
      </c>
      <c r="K242" s="24" t="s">
        <v>226</v>
      </c>
      <c r="L242" s="23"/>
      <c r="M242" s="25">
        <v>43618</v>
      </c>
      <c r="N242" s="24">
        <v>2019</v>
      </c>
      <c r="T242" s="21" t="s">
        <v>234</v>
      </c>
      <c r="U242" s="2">
        <f t="shared" ref="U242:AT242" si="2">SUM(U3,U41,U158)</f>
        <v>1171</v>
      </c>
      <c r="V242" s="2">
        <f t="shared" si="2"/>
        <v>723</v>
      </c>
      <c r="W242" s="2">
        <f t="shared" si="2"/>
        <v>714</v>
      </c>
      <c r="X242" s="2">
        <f t="shared" si="2"/>
        <v>345</v>
      </c>
      <c r="Y242" s="2">
        <f t="shared" si="2"/>
        <v>361</v>
      </c>
      <c r="Z242" s="2">
        <f t="shared" si="2"/>
        <v>415</v>
      </c>
      <c r="AA242" s="2">
        <f t="shared" si="2"/>
        <v>316</v>
      </c>
      <c r="AB242" s="2">
        <f t="shared" si="2"/>
        <v>0</v>
      </c>
      <c r="AC242" s="2">
        <f t="shared" si="2"/>
        <v>110</v>
      </c>
      <c r="AD242" s="2">
        <f t="shared" si="2"/>
        <v>372</v>
      </c>
      <c r="AE242" s="2">
        <f t="shared" si="2"/>
        <v>340</v>
      </c>
      <c r="AF242" s="2">
        <f t="shared" si="2"/>
        <v>432</v>
      </c>
      <c r="AG242" s="2">
        <f t="shared" si="2"/>
        <v>183</v>
      </c>
      <c r="AH242" s="2">
        <f t="shared" si="2"/>
        <v>79</v>
      </c>
      <c r="AI242" s="2">
        <f t="shared" si="2"/>
        <v>1358</v>
      </c>
      <c r="AJ242" s="2">
        <f t="shared" si="2"/>
        <v>379</v>
      </c>
      <c r="AK242" s="2">
        <f t="shared" si="2"/>
        <v>8193</v>
      </c>
      <c r="AL242" s="2">
        <f t="shared" si="2"/>
        <v>1131</v>
      </c>
      <c r="AM242" s="2">
        <f t="shared" si="2"/>
        <v>630</v>
      </c>
      <c r="AN242" s="2">
        <f t="shared" si="2"/>
        <v>807</v>
      </c>
      <c r="AO242" s="2">
        <f t="shared" si="2"/>
        <v>4904</v>
      </c>
      <c r="AP242" s="2">
        <f t="shared" si="2"/>
        <v>3668</v>
      </c>
      <c r="AQ242" s="2">
        <f t="shared" si="2"/>
        <v>1437</v>
      </c>
      <c r="AR242" s="2">
        <f t="shared" si="2"/>
        <v>506</v>
      </c>
      <c r="AS242" s="2">
        <f t="shared" si="2"/>
        <v>0</v>
      </c>
      <c r="AT242" s="2">
        <f t="shared" si="2"/>
        <v>8572</v>
      </c>
      <c r="AU242" s="2">
        <f t="shared" ref="AU242:BF242" si="3">SUM(AU158,AU41,AU3)</f>
        <v>4571</v>
      </c>
      <c r="AV242" s="2">
        <f t="shared" si="3"/>
        <v>4001</v>
      </c>
      <c r="AW242" s="2">
        <f t="shared" si="3"/>
        <v>2692</v>
      </c>
      <c r="AX242" s="2">
        <f t="shared" si="3"/>
        <v>1947</v>
      </c>
      <c r="AY242" s="2">
        <f t="shared" si="3"/>
        <v>2186</v>
      </c>
      <c r="AZ242" s="2">
        <f t="shared" si="3"/>
        <v>1747</v>
      </c>
      <c r="BA242" s="2">
        <f t="shared" si="3"/>
        <v>0</v>
      </c>
      <c r="BB242" s="2">
        <f t="shared" si="3"/>
        <v>1136</v>
      </c>
      <c r="BC242" s="2">
        <f t="shared" si="3"/>
        <v>2393</v>
      </c>
      <c r="BD242" s="2">
        <f t="shared" si="3"/>
        <v>1858</v>
      </c>
      <c r="BE242" s="2">
        <f t="shared" si="3"/>
        <v>2075</v>
      </c>
      <c r="BF242" s="2">
        <f t="shared" si="3"/>
        <v>1110</v>
      </c>
      <c r="BG242" s="15">
        <f>AT242/U242</f>
        <v>7.3202391118701966</v>
      </c>
      <c r="BH242" s="15">
        <f>AVERAGEIFS( E4:E1440, A4:A1440,"2018")</f>
        <v>10.007434944237918</v>
      </c>
      <c r="BI242" s="15">
        <f>AVERAGEIFS( E4:E1440, A4:A1440,"2019")</f>
        <v>6.6678082191780819</v>
      </c>
      <c r="BJ242" s="15">
        <f>AVERAGEIFS( E4:E1440, A4:A1440,"2020")</f>
        <v>6.544910179640719</v>
      </c>
      <c r="BK242" s="15">
        <f>AVERAGEIFS( E4:E1440, A4:A1440,"2021")</f>
        <v>6.6934865900383143</v>
      </c>
      <c r="BL242" s="38" t="e">
        <f>AVERAGEIFS( E4:E1440, A4:A1440,"2022")</f>
        <v>#DIV/0!</v>
      </c>
      <c r="BM242" s="15">
        <f>AVERAGE(AT158,AT41,AT3)</f>
        <v>2857.3333333333335</v>
      </c>
      <c r="BN242" s="15">
        <f>AVERAGE(AW158,AW41,AW3)</f>
        <v>897.33333333333337</v>
      </c>
      <c r="BO242" s="15">
        <f>AVERAGE(AX158,AX41,AX3)</f>
        <v>649</v>
      </c>
      <c r="BP242" s="15">
        <f>AVERAGE(AY158,AY41,AY3)</f>
        <v>728.66666666666663</v>
      </c>
      <c r="BQ242" s="15">
        <f>AVERAGE(AZ158,AZ41,AZ3)</f>
        <v>582.33333333333337</v>
      </c>
      <c r="BR242" s="15">
        <f>AVERAGE(BA158,BA41,BA3)</f>
        <v>0</v>
      </c>
    </row>
    <row r="243" spans="1:70">
      <c r="A243" s="24">
        <v>2018</v>
      </c>
      <c r="B243" s="24" t="s">
        <v>4</v>
      </c>
      <c r="C243" s="24" t="s">
        <v>23</v>
      </c>
      <c r="D243" s="24" t="s">
        <v>29</v>
      </c>
      <c r="E243" s="23">
        <v>1</v>
      </c>
      <c r="F243" s="24" t="s">
        <v>211</v>
      </c>
      <c r="G243" s="24" t="s">
        <v>225</v>
      </c>
      <c r="H243" s="23" t="s">
        <v>226</v>
      </c>
      <c r="I243" s="24" t="s">
        <v>225</v>
      </c>
      <c r="J243" s="23" t="s">
        <v>226</v>
      </c>
      <c r="K243" s="24" t="s">
        <v>226</v>
      </c>
      <c r="L243" s="23"/>
      <c r="M243" s="25">
        <v>43621</v>
      </c>
      <c r="N243" s="24">
        <v>2019</v>
      </c>
      <c r="AH243">
        <v>68</v>
      </c>
      <c r="AI243">
        <v>3125</v>
      </c>
      <c r="AL243">
        <f>448-AL242</f>
        <v>-683</v>
      </c>
      <c r="AM243">
        <v>1665</v>
      </c>
      <c r="AN243">
        <v>1528</v>
      </c>
    </row>
    <row r="244" spans="1:70">
      <c r="A244" s="24">
        <v>2018</v>
      </c>
      <c r="B244" s="24" t="s">
        <v>136</v>
      </c>
      <c r="C244" s="24" t="s">
        <v>176</v>
      </c>
      <c r="D244" s="24"/>
      <c r="E244" s="23"/>
      <c r="F244" s="24" t="s">
        <v>207</v>
      </c>
      <c r="G244" s="24" t="s">
        <v>225</v>
      </c>
      <c r="H244" s="23" t="s">
        <v>225</v>
      </c>
      <c r="I244" s="24" t="s">
        <v>226</v>
      </c>
      <c r="J244" s="23" t="s">
        <v>226</v>
      </c>
      <c r="K244" s="24" t="s">
        <v>226</v>
      </c>
      <c r="L244" s="23"/>
      <c r="M244" s="25">
        <v>43621</v>
      </c>
      <c r="N244" s="24">
        <v>2019</v>
      </c>
      <c r="AL244" t="s">
        <v>247</v>
      </c>
    </row>
    <row r="245" spans="1:70">
      <c r="A245" s="24">
        <v>2018</v>
      </c>
      <c r="B245" s="24" t="s">
        <v>4</v>
      </c>
      <c r="C245" s="24" t="s">
        <v>14</v>
      </c>
      <c r="D245" s="24" t="s">
        <v>16</v>
      </c>
      <c r="E245" s="23"/>
      <c r="F245" s="24" t="s">
        <v>211</v>
      </c>
      <c r="G245" s="24" t="s">
        <v>225</v>
      </c>
      <c r="H245" s="23" t="s">
        <v>225</v>
      </c>
      <c r="I245" s="24" t="s">
        <v>225</v>
      </c>
      <c r="J245" s="23" t="s">
        <v>226</v>
      </c>
      <c r="K245" s="24" t="s">
        <v>226</v>
      </c>
      <c r="L245" s="23"/>
      <c r="M245" s="25">
        <v>43625</v>
      </c>
      <c r="N245" s="24">
        <v>2019</v>
      </c>
    </row>
    <row r="246" spans="1:70">
      <c r="A246" s="24">
        <v>2018</v>
      </c>
      <c r="B246" s="24" t="s">
        <v>4</v>
      </c>
      <c r="C246" s="24" t="s">
        <v>18</v>
      </c>
      <c r="D246" s="24" t="s">
        <v>19</v>
      </c>
      <c r="E246" s="23">
        <v>5</v>
      </c>
      <c r="F246" s="24" t="s">
        <v>211</v>
      </c>
      <c r="G246" s="24" t="s">
        <v>225</v>
      </c>
      <c r="H246" s="23" t="s">
        <v>226</v>
      </c>
      <c r="I246" s="24" t="s">
        <v>226</v>
      </c>
      <c r="J246" s="23" t="s">
        <v>226</v>
      </c>
      <c r="K246" s="24" t="s">
        <v>226</v>
      </c>
      <c r="L246" s="23"/>
      <c r="M246" s="25">
        <v>43625</v>
      </c>
      <c r="N246" s="24">
        <v>2019</v>
      </c>
    </row>
    <row r="247" spans="1:70">
      <c r="A247" s="24">
        <v>2018</v>
      </c>
      <c r="B247" s="24" t="s">
        <v>78</v>
      </c>
      <c r="C247" s="24" t="s">
        <v>79</v>
      </c>
      <c r="D247" s="24" t="s">
        <v>341</v>
      </c>
      <c r="E247" s="23">
        <v>13</v>
      </c>
      <c r="F247" s="24" t="s">
        <v>207</v>
      </c>
      <c r="G247" s="24" t="s">
        <v>225</v>
      </c>
      <c r="H247" s="23" t="s">
        <v>226</v>
      </c>
      <c r="I247" s="24" t="s">
        <v>226</v>
      </c>
      <c r="J247" s="23" t="s">
        <v>226</v>
      </c>
      <c r="K247" s="24" t="s">
        <v>226</v>
      </c>
      <c r="L247" s="23"/>
      <c r="M247" s="25">
        <v>43625</v>
      </c>
      <c r="N247" s="24">
        <v>2019</v>
      </c>
    </row>
    <row r="248" spans="1:70">
      <c r="A248" s="24">
        <v>2018</v>
      </c>
      <c r="B248" s="24" t="s">
        <v>78</v>
      </c>
      <c r="C248" s="24" t="s">
        <v>79</v>
      </c>
      <c r="D248" s="24" t="s">
        <v>342</v>
      </c>
      <c r="E248" s="23"/>
      <c r="F248" s="24" t="s">
        <v>207</v>
      </c>
      <c r="G248" s="24" t="s">
        <v>225</v>
      </c>
      <c r="H248" s="23" t="s">
        <v>225</v>
      </c>
      <c r="I248" s="24" t="s">
        <v>226</v>
      </c>
      <c r="J248" s="23" t="s">
        <v>226</v>
      </c>
      <c r="K248" s="24" t="s">
        <v>226</v>
      </c>
      <c r="L248" s="23"/>
      <c r="M248" s="26" t="s">
        <v>343</v>
      </c>
      <c r="N248" s="24">
        <v>2019</v>
      </c>
    </row>
    <row r="249" spans="1:70">
      <c r="A249" s="24">
        <v>2018</v>
      </c>
      <c r="B249" s="24" t="s">
        <v>78</v>
      </c>
      <c r="C249" s="24" t="s">
        <v>79</v>
      </c>
      <c r="D249" s="24" t="s">
        <v>341</v>
      </c>
      <c r="E249" s="23">
        <v>3</v>
      </c>
      <c r="F249" s="24" t="s">
        <v>207</v>
      </c>
      <c r="G249" s="24" t="s">
        <v>225</v>
      </c>
      <c r="H249" s="23" t="s">
        <v>226</v>
      </c>
      <c r="I249" s="24" t="s">
        <v>226</v>
      </c>
      <c r="J249" s="23" t="s">
        <v>226</v>
      </c>
      <c r="K249" s="24" t="s">
        <v>226</v>
      </c>
      <c r="L249" s="23"/>
      <c r="M249" s="26" t="s">
        <v>343</v>
      </c>
      <c r="N249" s="24">
        <v>2019</v>
      </c>
    </row>
    <row r="250" spans="1:70">
      <c r="A250" s="24">
        <v>2018</v>
      </c>
      <c r="B250" s="24" t="s">
        <v>4</v>
      </c>
      <c r="C250" s="24" t="s">
        <v>5</v>
      </c>
      <c r="D250" s="24" t="s">
        <v>11</v>
      </c>
      <c r="E250" s="23">
        <v>11</v>
      </c>
      <c r="F250" s="24" t="s">
        <v>211</v>
      </c>
      <c r="G250" s="24" t="s">
        <v>225</v>
      </c>
      <c r="H250" s="23" t="s">
        <v>226</v>
      </c>
      <c r="I250" s="24" t="s">
        <v>226</v>
      </c>
      <c r="J250" s="23" t="s">
        <v>226</v>
      </c>
      <c r="K250" s="24" t="s">
        <v>226</v>
      </c>
      <c r="L250" s="23"/>
      <c r="M250" s="26" t="s">
        <v>343</v>
      </c>
      <c r="N250" s="24">
        <v>2019</v>
      </c>
      <c r="AI250" s="12"/>
      <c r="AJ250"/>
      <c r="AK250"/>
      <c r="AL250" s="12"/>
      <c r="AM250" s="12"/>
      <c r="AN250" s="12"/>
      <c r="AO250"/>
      <c r="AP250"/>
      <c r="AT250"/>
    </row>
    <row r="251" spans="1:70">
      <c r="A251" s="24">
        <v>2018</v>
      </c>
      <c r="B251" s="24" t="s">
        <v>78</v>
      </c>
      <c r="C251" s="24" t="s">
        <v>681</v>
      </c>
      <c r="D251" s="24" t="s">
        <v>134</v>
      </c>
      <c r="E251" s="23">
        <v>3</v>
      </c>
      <c r="F251" s="24" t="s">
        <v>207</v>
      </c>
      <c r="G251" s="24" t="s">
        <v>225</v>
      </c>
      <c r="H251" s="23" t="s">
        <v>226</v>
      </c>
      <c r="I251" s="24" t="s">
        <v>226</v>
      </c>
      <c r="J251" s="23" t="s">
        <v>226</v>
      </c>
      <c r="K251" s="24" t="s">
        <v>226</v>
      </c>
      <c r="L251" s="23"/>
      <c r="M251" s="26" t="s">
        <v>344</v>
      </c>
      <c r="N251" s="24">
        <v>2019</v>
      </c>
      <c r="AI251" s="12"/>
      <c r="AJ251"/>
      <c r="AK251"/>
      <c r="AL251" s="12"/>
      <c r="AM251" s="12"/>
      <c r="AN251" s="12"/>
      <c r="AO251"/>
      <c r="AP251"/>
      <c r="AT251"/>
    </row>
    <row r="252" spans="1:70">
      <c r="A252" s="24">
        <v>2018</v>
      </c>
      <c r="B252" s="24" t="s">
        <v>78</v>
      </c>
      <c r="C252" s="24" t="s">
        <v>683</v>
      </c>
      <c r="D252" s="24" t="s">
        <v>114</v>
      </c>
      <c r="E252" s="23">
        <v>1</v>
      </c>
      <c r="F252" s="24" t="s">
        <v>207</v>
      </c>
      <c r="G252" s="24" t="s">
        <v>225</v>
      </c>
      <c r="H252" s="23" t="s">
        <v>226</v>
      </c>
      <c r="I252" s="24" t="s">
        <v>225</v>
      </c>
      <c r="J252" s="23" t="s">
        <v>226</v>
      </c>
      <c r="K252" s="24" t="s">
        <v>226</v>
      </c>
      <c r="L252" s="23"/>
      <c r="M252" s="26" t="s">
        <v>345</v>
      </c>
      <c r="N252" s="24">
        <v>2019</v>
      </c>
      <c r="AI252" s="12"/>
      <c r="AJ252"/>
      <c r="AK252"/>
      <c r="AL252" s="12"/>
      <c r="AM252" s="12"/>
      <c r="AN252" s="12"/>
      <c r="AO252"/>
      <c r="AP252"/>
      <c r="AT252"/>
    </row>
    <row r="253" spans="1:70">
      <c r="A253" s="24">
        <v>2018</v>
      </c>
      <c r="B253" s="24" t="s">
        <v>136</v>
      </c>
      <c r="C253" s="24" t="s">
        <v>137</v>
      </c>
      <c r="D253" s="24" t="s">
        <v>141</v>
      </c>
      <c r="E253" s="23">
        <v>4</v>
      </c>
      <c r="F253" s="24" t="s">
        <v>211</v>
      </c>
      <c r="G253" s="24" t="s">
        <v>225</v>
      </c>
      <c r="H253" s="23" t="s">
        <v>226</v>
      </c>
      <c r="I253" s="24" t="s">
        <v>226</v>
      </c>
      <c r="J253" s="23" t="s">
        <v>226</v>
      </c>
      <c r="K253" s="24" t="s">
        <v>226</v>
      </c>
      <c r="L253" s="23"/>
      <c r="M253" s="26" t="s">
        <v>346</v>
      </c>
      <c r="N253" s="24">
        <v>2019</v>
      </c>
      <c r="AI253" s="12"/>
      <c r="AJ253"/>
      <c r="AK253"/>
      <c r="AL253" s="12"/>
      <c r="AM253" s="12"/>
      <c r="AN253" s="12"/>
      <c r="AO253"/>
      <c r="AP253"/>
      <c r="AT253"/>
    </row>
    <row r="254" spans="1:70">
      <c r="A254" s="24">
        <v>2018</v>
      </c>
      <c r="B254" s="24" t="s">
        <v>136</v>
      </c>
      <c r="C254" s="24" t="s">
        <v>171</v>
      </c>
      <c r="D254" s="24" t="s">
        <v>174</v>
      </c>
      <c r="E254" s="28">
        <v>3</v>
      </c>
      <c r="F254" s="24" t="s">
        <v>207</v>
      </c>
      <c r="G254" s="24" t="s">
        <v>225</v>
      </c>
      <c r="H254" s="23" t="s">
        <v>225</v>
      </c>
      <c r="I254" s="24" t="s">
        <v>226</v>
      </c>
      <c r="J254" s="23" t="s">
        <v>226</v>
      </c>
      <c r="K254" s="24" t="s">
        <v>226</v>
      </c>
      <c r="L254" s="23"/>
      <c r="M254" s="26" t="s">
        <v>347</v>
      </c>
      <c r="N254" s="24">
        <v>2019</v>
      </c>
      <c r="AI254" s="12"/>
      <c r="AJ254"/>
      <c r="AK254"/>
      <c r="AL254" s="12"/>
      <c r="AM254" s="12"/>
      <c r="AN254" s="12"/>
      <c r="AO254"/>
      <c r="AP254"/>
      <c r="AT254"/>
    </row>
    <row r="255" spans="1:70">
      <c r="A255" s="24">
        <v>2018</v>
      </c>
      <c r="B255" s="24" t="s">
        <v>136</v>
      </c>
      <c r="C255" s="24" t="s">
        <v>171</v>
      </c>
      <c r="D255" s="24" t="s">
        <v>174</v>
      </c>
      <c r="E255" s="23">
        <v>4</v>
      </c>
      <c r="F255" s="24" t="s">
        <v>207</v>
      </c>
      <c r="G255" s="24" t="s">
        <v>225</v>
      </c>
      <c r="H255" s="23" t="s">
        <v>226</v>
      </c>
      <c r="I255" s="24" t="s">
        <v>226</v>
      </c>
      <c r="J255" s="23" t="s">
        <v>226</v>
      </c>
      <c r="K255" s="24" t="s">
        <v>226</v>
      </c>
      <c r="L255" s="23"/>
      <c r="M255" s="26" t="s">
        <v>348</v>
      </c>
      <c r="N255" s="24">
        <v>2019</v>
      </c>
      <c r="AI255" s="12"/>
      <c r="AJ255"/>
      <c r="AK255"/>
      <c r="AL255" s="12"/>
      <c r="AM255" s="12"/>
      <c r="AN255" s="12"/>
      <c r="AO255"/>
      <c r="AP255"/>
      <c r="AT255"/>
    </row>
    <row r="256" spans="1:70">
      <c r="A256" s="24">
        <v>2018</v>
      </c>
      <c r="B256" s="24" t="s">
        <v>78</v>
      </c>
      <c r="C256" s="24" t="s">
        <v>681</v>
      </c>
      <c r="D256" s="24" t="s">
        <v>135</v>
      </c>
      <c r="E256" s="23"/>
      <c r="F256" s="24" t="s">
        <v>207</v>
      </c>
      <c r="G256" s="24" t="s">
        <v>225</v>
      </c>
      <c r="H256" s="23" t="s">
        <v>225</v>
      </c>
      <c r="I256" s="24" t="s">
        <v>226</v>
      </c>
      <c r="J256" s="23" t="s">
        <v>226</v>
      </c>
      <c r="K256" s="24" t="s">
        <v>226</v>
      </c>
      <c r="L256" s="23"/>
      <c r="M256" s="26" t="s">
        <v>348</v>
      </c>
      <c r="N256" s="24">
        <v>2019</v>
      </c>
      <c r="AI256" s="12"/>
      <c r="AJ256"/>
      <c r="AK256"/>
      <c r="AL256" s="12"/>
      <c r="AM256" s="12"/>
      <c r="AN256" s="12"/>
      <c r="AO256"/>
      <c r="AP256"/>
      <c r="AT256"/>
    </row>
    <row r="257" spans="1:46">
      <c r="A257" s="24">
        <v>2018</v>
      </c>
      <c r="B257" s="24" t="s">
        <v>136</v>
      </c>
      <c r="C257" s="24" t="s">
        <v>137</v>
      </c>
      <c r="D257" s="24" t="s">
        <v>141</v>
      </c>
      <c r="E257" s="23"/>
      <c r="F257" s="24" t="s">
        <v>211</v>
      </c>
      <c r="G257" s="24" t="s">
        <v>225</v>
      </c>
      <c r="H257" s="23" t="s">
        <v>225</v>
      </c>
      <c r="I257" s="24" t="s">
        <v>225</v>
      </c>
      <c r="J257" s="23" t="s">
        <v>226</v>
      </c>
      <c r="K257" s="24" t="s">
        <v>226</v>
      </c>
      <c r="L257" s="23"/>
      <c r="M257" s="26" t="s">
        <v>349</v>
      </c>
      <c r="N257" s="24">
        <v>2019</v>
      </c>
      <c r="AI257" s="12"/>
      <c r="AJ257"/>
      <c r="AK257"/>
      <c r="AL257" s="12"/>
      <c r="AM257" s="12"/>
      <c r="AN257" s="12"/>
      <c r="AO257"/>
      <c r="AP257"/>
      <c r="AT257"/>
    </row>
    <row r="258" spans="1:46">
      <c r="A258" s="24">
        <v>2018</v>
      </c>
      <c r="B258" s="24" t="s">
        <v>4</v>
      </c>
      <c r="C258" s="24" t="s">
        <v>31</v>
      </c>
      <c r="D258" s="24" t="s">
        <v>33</v>
      </c>
      <c r="E258" s="23">
        <v>38</v>
      </c>
      <c r="F258" s="24" t="s">
        <v>207</v>
      </c>
      <c r="G258" s="24" t="s">
        <v>225</v>
      </c>
      <c r="H258" s="23" t="s">
        <v>226</v>
      </c>
      <c r="I258" s="24" t="s">
        <v>226</v>
      </c>
      <c r="J258" s="23" t="s">
        <v>226</v>
      </c>
      <c r="K258" s="24" t="s">
        <v>226</v>
      </c>
      <c r="L258" s="23"/>
      <c r="M258" s="26" t="s">
        <v>349</v>
      </c>
      <c r="N258" s="24">
        <v>2019</v>
      </c>
      <c r="AI258" s="12"/>
      <c r="AJ258"/>
      <c r="AK258"/>
      <c r="AL258" s="12"/>
      <c r="AM258" s="12"/>
      <c r="AN258" s="12"/>
      <c r="AO258"/>
      <c r="AP258"/>
      <c r="AT258"/>
    </row>
    <row r="259" spans="1:46">
      <c r="A259" s="24">
        <v>2018</v>
      </c>
      <c r="B259" s="24" t="s">
        <v>4</v>
      </c>
      <c r="C259" s="24" t="s">
        <v>14</v>
      </c>
      <c r="D259" s="24" t="s">
        <v>15</v>
      </c>
      <c r="E259" s="23">
        <v>16</v>
      </c>
      <c r="F259" s="24" t="s">
        <v>211</v>
      </c>
      <c r="G259" s="24" t="s">
        <v>225</v>
      </c>
      <c r="H259" s="23" t="s">
        <v>226</v>
      </c>
      <c r="I259" s="24" t="s">
        <v>225</v>
      </c>
      <c r="J259" s="23" t="s">
        <v>226</v>
      </c>
      <c r="K259" s="24" t="s">
        <v>226</v>
      </c>
      <c r="L259" s="23"/>
      <c r="M259" s="26" t="s">
        <v>349</v>
      </c>
      <c r="N259" s="24">
        <v>2019</v>
      </c>
    </row>
    <row r="260" spans="1:46">
      <c r="A260" s="24">
        <v>2018</v>
      </c>
      <c r="B260" s="24" t="s">
        <v>4</v>
      </c>
      <c r="C260" s="24" t="s">
        <v>203</v>
      </c>
      <c r="D260" s="24" t="s">
        <v>39</v>
      </c>
      <c r="E260" s="23">
        <v>4</v>
      </c>
      <c r="F260" s="24" t="s">
        <v>211</v>
      </c>
      <c r="G260" s="24" t="s">
        <v>225</v>
      </c>
      <c r="H260" s="23" t="s">
        <v>226</v>
      </c>
      <c r="I260" s="24" t="s">
        <v>226</v>
      </c>
      <c r="J260" s="23" t="s">
        <v>226</v>
      </c>
      <c r="K260" s="24" t="s">
        <v>226</v>
      </c>
      <c r="L260" s="23"/>
      <c r="M260" s="26" t="s">
        <v>350</v>
      </c>
      <c r="N260" s="24">
        <v>2019</v>
      </c>
    </row>
    <row r="261" spans="1:46">
      <c r="A261" s="24">
        <v>2018</v>
      </c>
      <c r="B261" s="24" t="s">
        <v>78</v>
      </c>
      <c r="C261" s="24" t="s">
        <v>95</v>
      </c>
      <c r="D261" s="24" t="s">
        <v>96</v>
      </c>
      <c r="E261" s="23">
        <v>17</v>
      </c>
      <c r="F261" s="24" t="s">
        <v>207</v>
      </c>
      <c r="G261" s="23" t="s">
        <v>226</v>
      </c>
      <c r="H261" s="23" t="s">
        <v>226</v>
      </c>
      <c r="I261" s="24" t="s">
        <v>226</v>
      </c>
      <c r="J261" s="23" t="s">
        <v>226</v>
      </c>
      <c r="K261" s="24" t="s">
        <v>226</v>
      </c>
      <c r="L261" s="23"/>
      <c r="M261" s="26" t="s">
        <v>350</v>
      </c>
      <c r="N261" s="24">
        <v>2019</v>
      </c>
    </row>
    <row r="262" spans="1:46">
      <c r="A262" s="24">
        <v>2018</v>
      </c>
      <c r="B262" s="24" t="s">
        <v>136</v>
      </c>
      <c r="C262" s="24" t="s">
        <v>176</v>
      </c>
      <c r="D262" s="24" t="s">
        <v>182</v>
      </c>
      <c r="E262" s="23"/>
      <c r="F262" s="24" t="s">
        <v>207</v>
      </c>
      <c r="G262" s="24" t="s">
        <v>225</v>
      </c>
      <c r="H262" s="23" t="s">
        <v>225</v>
      </c>
      <c r="I262" s="24" t="s">
        <v>225</v>
      </c>
      <c r="J262" s="23" t="s">
        <v>226</v>
      </c>
      <c r="K262" s="24" t="s">
        <v>226</v>
      </c>
      <c r="L262" s="23"/>
      <c r="M262" s="26" t="s">
        <v>351</v>
      </c>
      <c r="N262" s="24">
        <v>2019</v>
      </c>
    </row>
    <row r="263" spans="1:46">
      <c r="A263" s="24">
        <v>2018</v>
      </c>
      <c r="B263" s="24" t="s">
        <v>136</v>
      </c>
      <c r="C263" s="24" t="s">
        <v>168</v>
      </c>
      <c r="D263" s="24" t="s">
        <v>170</v>
      </c>
      <c r="E263" s="23"/>
      <c r="F263" s="24" t="s">
        <v>207</v>
      </c>
      <c r="G263" s="24" t="s">
        <v>225</v>
      </c>
      <c r="H263" s="23" t="s">
        <v>225</v>
      </c>
      <c r="I263" s="24" t="s">
        <v>225</v>
      </c>
      <c r="J263" s="23" t="s">
        <v>226</v>
      </c>
      <c r="K263" s="24" t="s">
        <v>226</v>
      </c>
      <c r="L263" s="23"/>
      <c r="M263" s="25">
        <v>43648</v>
      </c>
      <c r="N263" s="24">
        <v>2019</v>
      </c>
    </row>
    <row r="264" spans="1:46">
      <c r="A264" s="24">
        <v>2018</v>
      </c>
      <c r="B264" s="24" t="s">
        <v>4</v>
      </c>
      <c r="C264" s="24" t="s">
        <v>23</v>
      </c>
      <c r="D264" s="24" t="s">
        <v>24</v>
      </c>
      <c r="E264" s="23">
        <v>38</v>
      </c>
      <c r="F264" s="24" t="s">
        <v>207</v>
      </c>
      <c r="G264" s="24" t="s">
        <v>225</v>
      </c>
      <c r="H264" s="23" t="s">
        <v>226</v>
      </c>
      <c r="I264" s="24" t="s">
        <v>226</v>
      </c>
      <c r="J264" s="23" t="s">
        <v>226</v>
      </c>
      <c r="K264" s="24" t="s">
        <v>226</v>
      </c>
      <c r="L264" s="23"/>
      <c r="M264" s="25">
        <v>43649</v>
      </c>
      <c r="N264" s="24">
        <v>2019</v>
      </c>
    </row>
    <row r="265" spans="1:46">
      <c r="A265" s="24">
        <v>2018</v>
      </c>
      <c r="B265" s="24" t="s">
        <v>4</v>
      </c>
      <c r="C265" s="24" t="s">
        <v>18</v>
      </c>
      <c r="D265" s="24" t="s">
        <v>22</v>
      </c>
      <c r="E265" s="23">
        <v>2</v>
      </c>
      <c r="F265" s="24" t="s">
        <v>211</v>
      </c>
      <c r="G265" s="24" t="s">
        <v>225</v>
      </c>
      <c r="H265" s="23" t="s">
        <v>226</v>
      </c>
      <c r="I265" s="24" t="s">
        <v>225</v>
      </c>
      <c r="J265" s="23" t="s">
        <v>226</v>
      </c>
      <c r="K265" s="24" t="s">
        <v>226</v>
      </c>
      <c r="L265" s="23"/>
      <c r="M265" s="25">
        <v>43649</v>
      </c>
      <c r="N265" s="24">
        <v>2019</v>
      </c>
    </row>
    <row r="266" spans="1:46">
      <c r="A266" s="24">
        <v>2018</v>
      </c>
      <c r="B266" s="24" t="s">
        <v>4</v>
      </c>
      <c r="C266" s="24" t="s">
        <v>18</v>
      </c>
      <c r="D266" s="24" t="s">
        <v>19</v>
      </c>
      <c r="E266" s="23"/>
      <c r="F266" s="24" t="s">
        <v>211</v>
      </c>
      <c r="G266" s="24" t="s">
        <v>225</v>
      </c>
      <c r="H266" s="23" t="s">
        <v>225</v>
      </c>
      <c r="I266" s="24" t="s">
        <v>226</v>
      </c>
      <c r="J266" s="23" t="s">
        <v>226</v>
      </c>
      <c r="K266" s="24" t="s">
        <v>226</v>
      </c>
      <c r="L266" s="23"/>
      <c r="M266" s="25">
        <v>43651</v>
      </c>
      <c r="N266" s="24">
        <v>2019</v>
      </c>
    </row>
    <row r="267" spans="1:46">
      <c r="A267" s="24">
        <v>2018</v>
      </c>
      <c r="B267" s="24" t="s">
        <v>136</v>
      </c>
      <c r="C267" s="24" t="s">
        <v>160</v>
      </c>
      <c r="D267" s="24" t="s">
        <v>166</v>
      </c>
      <c r="E267" s="23">
        <v>10</v>
      </c>
      <c r="F267" s="24" t="s">
        <v>207</v>
      </c>
      <c r="G267" s="24" t="s">
        <v>225</v>
      </c>
      <c r="H267" s="23" t="s">
        <v>226</v>
      </c>
      <c r="I267" s="24" t="s">
        <v>226</v>
      </c>
      <c r="J267" s="23" t="s">
        <v>226</v>
      </c>
      <c r="K267" s="24" t="s">
        <v>226</v>
      </c>
      <c r="L267" s="23"/>
      <c r="M267" s="25">
        <v>43652</v>
      </c>
      <c r="N267" s="24">
        <v>2019</v>
      </c>
    </row>
    <row r="268" spans="1:46">
      <c r="A268" s="24">
        <v>2018</v>
      </c>
      <c r="B268" s="24" t="s">
        <v>78</v>
      </c>
      <c r="C268" s="24" t="s">
        <v>103</v>
      </c>
      <c r="D268" s="24"/>
      <c r="E268" s="23"/>
      <c r="F268" s="24" t="s">
        <v>207</v>
      </c>
      <c r="G268" s="24" t="s">
        <v>225</v>
      </c>
      <c r="H268" s="23" t="s">
        <v>225</v>
      </c>
      <c r="I268" s="24" t="s">
        <v>226</v>
      </c>
      <c r="J268" s="23" t="s">
        <v>226</v>
      </c>
      <c r="K268" s="24" t="s">
        <v>226</v>
      </c>
      <c r="L268" s="23"/>
      <c r="M268" s="25">
        <v>43652</v>
      </c>
      <c r="N268" s="24">
        <v>2019</v>
      </c>
    </row>
    <row r="269" spans="1:46">
      <c r="A269" s="24">
        <v>2018</v>
      </c>
      <c r="B269" s="24" t="s">
        <v>136</v>
      </c>
      <c r="C269" s="24" t="s">
        <v>176</v>
      </c>
      <c r="D269" s="24" t="s">
        <v>183</v>
      </c>
      <c r="E269" s="23">
        <v>2</v>
      </c>
      <c r="F269" s="24" t="s">
        <v>211</v>
      </c>
      <c r="G269" s="24" t="s">
        <v>225</v>
      </c>
      <c r="H269" s="23" t="s">
        <v>226</v>
      </c>
      <c r="I269" s="24" t="s">
        <v>226</v>
      </c>
      <c r="J269" s="23" t="s">
        <v>226</v>
      </c>
      <c r="K269" s="24" t="s">
        <v>226</v>
      </c>
      <c r="L269" s="23"/>
      <c r="M269" s="26" t="s">
        <v>352</v>
      </c>
      <c r="N269" s="24">
        <v>2019</v>
      </c>
    </row>
    <row r="270" spans="1:46">
      <c r="A270" s="24">
        <v>2018</v>
      </c>
      <c r="B270" s="24" t="s">
        <v>78</v>
      </c>
      <c r="C270" s="24" t="s">
        <v>681</v>
      </c>
      <c r="D270" s="24" t="s">
        <v>269</v>
      </c>
      <c r="E270" s="23"/>
      <c r="F270" s="24" t="s">
        <v>207</v>
      </c>
      <c r="G270" s="24" t="s">
        <v>225</v>
      </c>
      <c r="H270" s="23" t="s">
        <v>225</v>
      </c>
      <c r="I270" s="24" t="s">
        <v>225</v>
      </c>
      <c r="J270" s="23" t="s">
        <v>226</v>
      </c>
      <c r="K270" s="24" t="s">
        <v>226</v>
      </c>
      <c r="L270" s="23"/>
      <c r="M270" s="26" t="s">
        <v>352</v>
      </c>
      <c r="N270" s="24">
        <v>2019</v>
      </c>
    </row>
    <row r="271" spans="1:46">
      <c r="A271" s="24">
        <v>2018</v>
      </c>
      <c r="B271" s="24" t="s">
        <v>78</v>
      </c>
      <c r="C271" s="24" t="s">
        <v>88</v>
      </c>
      <c r="D271" s="24" t="s">
        <v>89</v>
      </c>
      <c r="E271" s="23">
        <v>14</v>
      </c>
      <c r="F271" s="24" t="s">
        <v>211</v>
      </c>
      <c r="G271" s="23" t="s">
        <v>226</v>
      </c>
      <c r="H271" s="23" t="s">
        <v>226</v>
      </c>
      <c r="I271" s="24" t="s">
        <v>226</v>
      </c>
      <c r="J271" s="23" t="s">
        <v>226</v>
      </c>
      <c r="K271" s="24" t="s">
        <v>226</v>
      </c>
      <c r="L271" s="23"/>
      <c r="M271" s="26" t="s">
        <v>353</v>
      </c>
      <c r="N271" s="24">
        <v>2019</v>
      </c>
    </row>
    <row r="272" spans="1:46">
      <c r="A272" s="24">
        <v>2018</v>
      </c>
      <c r="B272" s="24" t="s">
        <v>136</v>
      </c>
      <c r="C272" s="24" t="s">
        <v>137</v>
      </c>
      <c r="D272" s="24" t="s">
        <v>141</v>
      </c>
      <c r="E272" s="23">
        <v>1</v>
      </c>
      <c r="F272" s="24" t="s">
        <v>207</v>
      </c>
      <c r="G272" s="24" t="s">
        <v>225</v>
      </c>
      <c r="H272" s="23" t="s">
        <v>226</v>
      </c>
      <c r="I272" s="24" t="s">
        <v>225</v>
      </c>
      <c r="J272" s="23" t="s">
        <v>226</v>
      </c>
      <c r="K272" s="24" t="s">
        <v>226</v>
      </c>
      <c r="L272" s="23"/>
      <c r="M272" s="26" t="s">
        <v>354</v>
      </c>
      <c r="N272" s="24">
        <v>2019</v>
      </c>
    </row>
    <row r="273" spans="1:14">
      <c r="A273" s="24">
        <v>2018</v>
      </c>
      <c r="B273" s="24" t="s">
        <v>4</v>
      </c>
      <c r="C273" s="24" t="s">
        <v>18</v>
      </c>
      <c r="D273" s="24" t="s">
        <v>19</v>
      </c>
      <c r="E273" s="23">
        <v>5</v>
      </c>
      <c r="F273" s="24" t="s">
        <v>211</v>
      </c>
      <c r="G273" s="24" t="s">
        <v>225</v>
      </c>
      <c r="H273" s="23" t="s">
        <v>226</v>
      </c>
      <c r="I273" s="24" t="s">
        <v>225</v>
      </c>
      <c r="J273" s="23" t="s">
        <v>226</v>
      </c>
      <c r="K273" s="24" t="s">
        <v>226</v>
      </c>
      <c r="L273" s="23"/>
      <c r="M273" s="26" t="s">
        <v>355</v>
      </c>
      <c r="N273" s="24">
        <v>2019</v>
      </c>
    </row>
    <row r="274" spans="1:14">
      <c r="A274" s="24">
        <v>2018</v>
      </c>
      <c r="B274" s="24" t="s">
        <v>136</v>
      </c>
      <c r="C274" s="24" t="s">
        <v>137</v>
      </c>
      <c r="D274" s="24" t="s">
        <v>138</v>
      </c>
      <c r="E274" s="23">
        <v>2</v>
      </c>
      <c r="F274" s="24" t="s">
        <v>207</v>
      </c>
      <c r="G274" s="24" t="s">
        <v>225</v>
      </c>
      <c r="H274" s="23" t="s">
        <v>226</v>
      </c>
      <c r="I274" s="24" t="s">
        <v>225</v>
      </c>
      <c r="J274" s="23" t="s">
        <v>226</v>
      </c>
      <c r="K274" s="24" t="s">
        <v>226</v>
      </c>
      <c r="L274" s="23"/>
      <c r="M274" s="26" t="s">
        <v>355</v>
      </c>
      <c r="N274" s="24">
        <v>2019</v>
      </c>
    </row>
    <row r="275" spans="1:14">
      <c r="A275" s="24">
        <v>2018</v>
      </c>
      <c r="B275" s="24" t="s">
        <v>78</v>
      </c>
      <c r="C275" s="24" t="s">
        <v>79</v>
      </c>
      <c r="D275" s="24" t="s">
        <v>53</v>
      </c>
      <c r="E275" s="23">
        <v>9</v>
      </c>
      <c r="F275" s="24" t="s">
        <v>211</v>
      </c>
      <c r="G275" s="24" t="s">
        <v>225</v>
      </c>
      <c r="H275" s="23" t="s">
        <v>226</v>
      </c>
      <c r="I275" s="24" t="s">
        <v>225</v>
      </c>
      <c r="J275" s="23" t="s">
        <v>226</v>
      </c>
      <c r="K275" s="24" t="s">
        <v>226</v>
      </c>
      <c r="L275" s="23"/>
      <c r="M275" s="26" t="s">
        <v>356</v>
      </c>
      <c r="N275" s="24">
        <v>2019</v>
      </c>
    </row>
    <row r="276" spans="1:14">
      <c r="A276" s="24">
        <v>2018</v>
      </c>
      <c r="B276" s="24" t="s">
        <v>136</v>
      </c>
      <c r="C276" s="24" t="s">
        <v>176</v>
      </c>
      <c r="D276" s="24" t="s">
        <v>180</v>
      </c>
      <c r="E276" s="23">
        <v>1</v>
      </c>
      <c r="F276" s="24" t="s">
        <v>207</v>
      </c>
      <c r="G276" s="24" t="s">
        <v>225</v>
      </c>
      <c r="H276" s="23" t="s">
        <v>226</v>
      </c>
      <c r="I276" s="24" t="s">
        <v>225</v>
      </c>
      <c r="J276" s="23" t="s">
        <v>226</v>
      </c>
      <c r="K276" s="24" t="s">
        <v>226</v>
      </c>
      <c r="L276" s="23"/>
      <c r="M276" s="26" t="s">
        <v>356</v>
      </c>
      <c r="N276" s="24">
        <v>2019</v>
      </c>
    </row>
    <row r="277" spans="1:14">
      <c r="A277" s="24">
        <v>2018</v>
      </c>
      <c r="B277" s="24" t="s">
        <v>78</v>
      </c>
      <c r="C277" s="24" t="s">
        <v>79</v>
      </c>
      <c r="D277" s="24" t="s">
        <v>357</v>
      </c>
      <c r="E277" s="23">
        <v>2</v>
      </c>
      <c r="F277" s="24" t="s">
        <v>211</v>
      </c>
      <c r="G277" s="24" t="s">
        <v>225</v>
      </c>
      <c r="H277" s="23" t="s">
        <v>226</v>
      </c>
      <c r="I277" s="24" t="s">
        <v>226</v>
      </c>
      <c r="J277" s="23" t="s">
        <v>226</v>
      </c>
      <c r="K277" s="24" t="s">
        <v>226</v>
      </c>
      <c r="L277" s="23"/>
      <c r="M277" s="26" t="s">
        <v>356</v>
      </c>
      <c r="N277" s="24">
        <v>2019</v>
      </c>
    </row>
    <row r="278" spans="1:14">
      <c r="A278" s="24">
        <v>2018</v>
      </c>
      <c r="B278" s="24" t="s">
        <v>4</v>
      </c>
      <c r="C278" s="24" t="s">
        <v>203</v>
      </c>
      <c r="D278" s="24" t="s">
        <v>40</v>
      </c>
      <c r="E278" s="23">
        <v>2</v>
      </c>
      <c r="F278" s="24" t="s">
        <v>207</v>
      </c>
      <c r="G278" s="23" t="s">
        <v>226</v>
      </c>
      <c r="H278" s="23" t="s">
        <v>226</v>
      </c>
      <c r="I278" s="24" t="s">
        <v>225</v>
      </c>
      <c r="J278" s="23" t="s">
        <v>226</v>
      </c>
      <c r="K278" s="24" t="s">
        <v>226</v>
      </c>
      <c r="L278" s="23"/>
      <c r="M278" s="26" t="s">
        <v>358</v>
      </c>
      <c r="N278" s="24">
        <v>2019</v>
      </c>
    </row>
    <row r="279" spans="1:14">
      <c r="A279" s="24">
        <v>2018</v>
      </c>
      <c r="B279" s="24" t="s">
        <v>4</v>
      </c>
      <c r="C279" s="24" t="s">
        <v>23</v>
      </c>
      <c r="D279" s="24" t="s">
        <v>27</v>
      </c>
      <c r="E279" s="23">
        <v>12</v>
      </c>
      <c r="F279" s="24" t="s">
        <v>207</v>
      </c>
      <c r="G279" s="24" t="s">
        <v>225</v>
      </c>
      <c r="H279" s="23" t="s">
        <v>226</v>
      </c>
      <c r="I279" s="24" t="s">
        <v>225</v>
      </c>
      <c r="J279" s="23" t="s">
        <v>226</v>
      </c>
      <c r="K279" s="24" t="s">
        <v>226</v>
      </c>
      <c r="L279" s="23"/>
      <c r="M279" s="26" t="s">
        <v>359</v>
      </c>
      <c r="N279" s="24">
        <v>2019</v>
      </c>
    </row>
    <row r="280" spans="1:14">
      <c r="A280" s="24">
        <v>2018</v>
      </c>
      <c r="B280" s="24" t="s">
        <v>136</v>
      </c>
      <c r="C280" s="24" t="s">
        <v>168</v>
      </c>
      <c r="D280" s="24" t="s">
        <v>314</v>
      </c>
      <c r="E280" s="23"/>
      <c r="F280" s="24" t="s">
        <v>207</v>
      </c>
      <c r="G280" s="24" t="s">
        <v>225</v>
      </c>
      <c r="H280" s="23" t="s">
        <v>225</v>
      </c>
      <c r="I280" s="24" t="s">
        <v>225</v>
      </c>
      <c r="J280" s="23" t="s">
        <v>226</v>
      </c>
      <c r="K280" s="24" t="s">
        <v>226</v>
      </c>
      <c r="L280" s="23"/>
      <c r="M280" s="26" t="s">
        <v>359</v>
      </c>
      <c r="N280" s="24">
        <v>2019</v>
      </c>
    </row>
    <row r="281" spans="1:14">
      <c r="A281" s="24">
        <v>2018</v>
      </c>
      <c r="B281" s="24" t="s">
        <v>4</v>
      </c>
      <c r="C281" s="24" t="s">
        <v>5</v>
      </c>
      <c r="D281" s="24" t="s">
        <v>6</v>
      </c>
      <c r="E281" s="23">
        <v>21</v>
      </c>
      <c r="F281" s="24" t="s">
        <v>211</v>
      </c>
      <c r="G281" s="24" t="s">
        <v>225</v>
      </c>
      <c r="H281" s="23" t="s">
        <v>226</v>
      </c>
      <c r="I281" s="24" t="s">
        <v>226</v>
      </c>
      <c r="J281" s="23" t="s">
        <v>226</v>
      </c>
      <c r="K281" s="24" t="s">
        <v>226</v>
      </c>
      <c r="L281" s="23"/>
      <c r="M281" s="26" t="s">
        <v>360</v>
      </c>
      <c r="N281" s="24">
        <v>2019</v>
      </c>
    </row>
    <row r="282" spans="1:14">
      <c r="A282" s="24">
        <v>2018</v>
      </c>
      <c r="B282" s="24" t="s">
        <v>4</v>
      </c>
      <c r="C282" s="24" t="s">
        <v>5</v>
      </c>
      <c r="D282" s="24" t="s">
        <v>10</v>
      </c>
      <c r="E282" s="23">
        <v>14</v>
      </c>
      <c r="F282" s="24" t="s">
        <v>211</v>
      </c>
      <c r="G282" s="24" t="s">
        <v>225</v>
      </c>
      <c r="H282" s="23" t="s">
        <v>226</v>
      </c>
      <c r="I282" s="24" t="s">
        <v>225</v>
      </c>
      <c r="J282" s="23" t="s">
        <v>226</v>
      </c>
      <c r="K282" s="24" t="s">
        <v>226</v>
      </c>
      <c r="L282" s="23"/>
      <c r="M282" s="26" t="s">
        <v>360</v>
      </c>
      <c r="N282" s="24">
        <v>2019</v>
      </c>
    </row>
    <row r="283" spans="1:14">
      <c r="A283" s="24">
        <v>2018</v>
      </c>
      <c r="B283" s="24" t="s">
        <v>4</v>
      </c>
      <c r="C283" s="24" t="s">
        <v>5</v>
      </c>
      <c r="D283" s="24" t="s">
        <v>10</v>
      </c>
      <c r="E283" s="23">
        <v>7</v>
      </c>
      <c r="F283" s="24" t="s">
        <v>211</v>
      </c>
      <c r="G283" s="24" t="s">
        <v>225</v>
      </c>
      <c r="H283" s="23" t="s">
        <v>226</v>
      </c>
      <c r="I283" s="24" t="s">
        <v>225</v>
      </c>
      <c r="J283" s="23" t="s">
        <v>226</v>
      </c>
      <c r="K283" s="24" t="s">
        <v>226</v>
      </c>
      <c r="L283" s="23"/>
      <c r="M283" s="26" t="s">
        <v>360</v>
      </c>
      <c r="N283" s="24">
        <v>2019</v>
      </c>
    </row>
    <row r="284" spans="1:14">
      <c r="A284" s="24">
        <v>2018</v>
      </c>
      <c r="B284" s="24" t="s">
        <v>4</v>
      </c>
      <c r="C284" s="24" t="s">
        <v>203</v>
      </c>
      <c r="D284" s="24" t="s">
        <v>42</v>
      </c>
      <c r="E284" s="23">
        <v>1</v>
      </c>
      <c r="F284" s="24" t="s">
        <v>207</v>
      </c>
      <c r="G284" s="24" t="s">
        <v>225</v>
      </c>
      <c r="H284" s="23" t="s">
        <v>226</v>
      </c>
      <c r="I284" s="24" t="s">
        <v>225</v>
      </c>
      <c r="J284" s="23" t="s">
        <v>226</v>
      </c>
      <c r="K284" s="24" t="s">
        <v>226</v>
      </c>
      <c r="L284" s="23"/>
      <c r="M284" s="26" t="s">
        <v>360</v>
      </c>
      <c r="N284" s="24">
        <v>2019</v>
      </c>
    </row>
    <row r="285" spans="1:14">
      <c r="A285" s="24">
        <v>2018</v>
      </c>
      <c r="B285" s="24" t="s">
        <v>136</v>
      </c>
      <c r="C285" s="24" t="s">
        <v>682</v>
      </c>
      <c r="D285" s="24" t="s">
        <v>167</v>
      </c>
      <c r="E285" s="23"/>
      <c r="F285" s="24" t="s">
        <v>211</v>
      </c>
      <c r="G285" s="24" t="s">
        <v>225</v>
      </c>
      <c r="H285" s="23" t="s">
        <v>225</v>
      </c>
      <c r="I285" s="24" t="s">
        <v>225</v>
      </c>
      <c r="J285" s="23" t="s">
        <v>226</v>
      </c>
      <c r="K285" s="24" t="s">
        <v>226</v>
      </c>
      <c r="L285" s="23"/>
      <c r="M285" s="26" t="s">
        <v>360</v>
      </c>
      <c r="N285" s="24">
        <v>2019</v>
      </c>
    </row>
    <row r="286" spans="1:14">
      <c r="A286" s="24">
        <v>2018</v>
      </c>
      <c r="B286" s="24" t="s">
        <v>136</v>
      </c>
      <c r="C286" s="24" t="s">
        <v>152</v>
      </c>
      <c r="D286" s="24" t="s">
        <v>155</v>
      </c>
      <c r="E286" s="23"/>
      <c r="F286" s="24" t="s">
        <v>207</v>
      </c>
      <c r="G286" s="24" t="s">
        <v>225</v>
      </c>
      <c r="H286" s="23" t="s">
        <v>225</v>
      </c>
      <c r="I286" s="24" t="s">
        <v>225</v>
      </c>
      <c r="J286" s="23" t="s">
        <v>226</v>
      </c>
      <c r="K286" s="24" t="s">
        <v>226</v>
      </c>
      <c r="L286" s="23"/>
      <c r="M286" s="26" t="s">
        <v>361</v>
      </c>
      <c r="N286" s="24">
        <v>2019</v>
      </c>
    </row>
    <row r="287" spans="1:14">
      <c r="A287" s="24">
        <v>2018</v>
      </c>
      <c r="B287" s="24" t="s">
        <v>136</v>
      </c>
      <c r="C287" s="24" t="s">
        <v>152</v>
      </c>
      <c r="D287" s="24" t="s">
        <v>155</v>
      </c>
      <c r="E287" s="23"/>
      <c r="F287" s="24" t="s">
        <v>211</v>
      </c>
      <c r="G287" s="24" t="s">
        <v>225</v>
      </c>
      <c r="H287" s="23" t="s">
        <v>225</v>
      </c>
      <c r="I287" s="24" t="s">
        <v>225</v>
      </c>
      <c r="J287" s="23" t="s">
        <v>226</v>
      </c>
      <c r="K287" s="24" t="s">
        <v>226</v>
      </c>
      <c r="L287" s="23"/>
      <c r="M287" s="26" t="s">
        <v>362</v>
      </c>
      <c r="N287" s="24">
        <v>2019</v>
      </c>
    </row>
    <row r="288" spans="1:14">
      <c r="A288" s="24">
        <v>2018</v>
      </c>
      <c r="B288" s="24" t="s">
        <v>4</v>
      </c>
      <c r="C288" s="24" t="s">
        <v>5</v>
      </c>
      <c r="D288" s="24" t="s">
        <v>6</v>
      </c>
      <c r="E288" s="23">
        <v>3</v>
      </c>
      <c r="F288" s="24" t="s">
        <v>207</v>
      </c>
      <c r="G288" s="24" t="s">
        <v>225</v>
      </c>
      <c r="H288" s="23" t="s">
        <v>226</v>
      </c>
      <c r="I288" s="24" t="s">
        <v>226</v>
      </c>
      <c r="J288" s="23" t="s">
        <v>226</v>
      </c>
      <c r="K288" s="24" t="s">
        <v>226</v>
      </c>
      <c r="L288" s="23"/>
      <c r="M288" s="25">
        <v>43678</v>
      </c>
      <c r="N288" s="24">
        <v>2019</v>
      </c>
    </row>
    <row r="289" spans="1:14">
      <c r="A289" s="24">
        <v>2018</v>
      </c>
      <c r="B289" s="24" t="s">
        <v>4</v>
      </c>
      <c r="C289" s="24" t="s">
        <v>5</v>
      </c>
      <c r="D289" s="24" t="s">
        <v>6</v>
      </c>
      <c r="E289" s="23">
        <v>2</v>
      </c>
      <c r="F289" s="24" t="s">
        <v>207</v>
      </c>
      <c r="G289" s="24" t="s">
        <v>225</v>
      </c>
      <c r="H289" s="23" t="s">
        <v>226</v>
      </c>
      <c r="I289" s="24" t="s">
        <v>226</v>
      </c>
      <c r="J289" s="23" t="s">
        <v>226</v>
      </c>
      <c r="K289" s="24" t="s">
        <v>226</v>
      </c>
      <c r="L289" s="23"/>
      <c r="M289" s="25">
        <v>43678</v>
      </c>
      <c r="N289" s="24">
        <v>2019</v>
      </c>
    </row>
    <row r="290" spans="1:14">
      <c r="A290" s="24">
        <v>2018</v>
      </c>
      <c r="B290" s="24" t="s">
        <v>78</v>
      </c>
      <c r="C290" s="24" t="s">
        <v>79</v>
      </c>
      <c r="D290" s="24" t="s">
        <v>52</v>
      </c>
      <c r="E290" s="23"/>
      <c r="F290" s="24" t="s">
        <v>211</v>
      </c>
      <c r="G290" s="24" t="s">
        <v>225</v>
      </c>
      <c r="H290" s="23" t="s">
        <v>225</v>
      </c>
      <c r="I290" s="24" t="s">
        <v>225</v>
      </c>
      <c r="J290" s="23" t="s">
        <v>226</v>
      </c>
      <c r="K290" s="24" t="s">
        <v>226</v>
      </c>
      <c r="L290" s="23"/>
      <c r="M290" s="25">
        <v>43679</v>
      </c>
      <c r="N290" s="24">
        <v>2019</v>
      </c>
    </row>
    <row r="291" spans="1:14">
      <c r="A291" s="24">
        <v>2018</v>
      </c>
      <c r="B291" s="24" t="s">
        <v>4</v>
      </c>
      <c r="C291" s="24" t="s">
        <v>203</v>
      </c>
      <c r="D291" s="24" t="s">
        <v>204</v>
      </c>
      <c r="E291" s="23">
        <v>1</v>
      </c>
      <c r="F291" s="24" t="s">
        <v>211</v>
      </c>
      <c r="G291" s="24" t="s">
        <v>225</v>
      </c>
      <c r="H291" s="23" t="s">
        <v>226</v>
      </c>
      <c r="I291" s="24" t="s">
        <v>225</v>
      </c>
      <c r="J291" s="23" t="s">
        <v>226</v>
      </c>
      <c r="K291" s="24" t="s">
        <v>226</v>
      </c>
      <c r="L291" s="23"/>
      <c r="M291" s="25">
        <v>43679</v>
      </c>
      <c r="N291" s="24">
        <v>2019</v>
      </c>
    </row>
    <row r="292" spans="1:14">
      <c r="A292" s="24">
        <v>2018</v>
      </c>
      <c r="B292" s="24" t="s">
        <v>4</v>
      </c>
      <c r="C292" s="24" t="s">
        <v>18</v>
      </c>
      <c r="D292" s="24" t="s">
        <v>20</v>
      </c>
      <c r="E292" s="23">
        <v>8</v>
      </c>
      <c r="F292" s="24" t="s">
        <v>207</v>
      </c>
      <c r="G292" s="24" t="s">
        <v>225</v>
      </c>
      <c r="H292" s="23" t="s">
        <v>226</v>
      </c>
      <c r="I292" s="24" t="s">
        <v>225</v>
      </c>
      <c r="J292" s="23" t="s">
        <v>226</v>
      </c>
      <c r="K292" s="24" t="s">
        <v>226</v>
      </c>
      <c r="L292" s="23"/>
      <c r="M292" s="25">
        <v>43679</v>
      </c>
      <c r="N292" s="24">
        <v>2019</v>
      </c>
    </row>
    <row r="293" spans="1:14">
      <c r="A293" s="24">
        <v>2018</v>
      </c>
      <c r="B293" s="24" t="s">
        <v>136</v>
      </c>
      <c r="C293" s="24" t="s">
        <v>176</v>
      </c>
      <c r="D293" s="24" t="s">
        <v>177</v>
      </c>
      <c r="E293" s="23"/>
      <c r="F293" s="24" t="s">
        <v>207</v>
      </c>
      <c r="G293" s="24" t="s">
        <v>225</v>
      </c>
      <c r="H293" s="23" t="s">
        <v>225</v>
      </c>
      <c r="I293" s="24" t="s">
        <v>225</v>
      </c>
      <c r="J293" s="23" t="s">
        <v>226</v>
      </c>
      <c r="K293" s="24" t="s">
        <v>226</v>
      </c>
      <c r="L293" s="23"/>
      <c r="M293" s="25">
        <v>43679</v>
      </c>
      <c r="N293" s="24">
        <v>2019</v>
      </c>
    </row>
    <row r="294" spans="1:14">
      <c r="A294" s="24">
        <v>2018</v>
      </c>
      <c r="B294" s="24" t="s">
        <v>4</v>
      </c>
      <c r="C294" s="24" t="s">
        <v>18</v>
      </c>
      <c r="D294" s="24" t="s">
        <v>21</v>
      </c>
      <c r="E294" s="23">
        <v>16</v>
      </c>
      <c r="F294" s="24" t="s">
        <v>207</v>
      </c>
      <c r="G294" s="24" t="s">
        <v>225</v>
      </c>
      <c r="H294" s="23" t="s">
        <v>226</v>
      </c>
      <c r="I294" s="24" t="s">
        <v>226</v>
      </c>
      <c r="J294" s="23" t="s">
        <v>226</v>
      </c>
      <c r="K294" s="24" t="s">
        <v>226</v>
      </c>
      <c r="L294" s="23"/>
      <c r="M294" s="25">
        <v>43679</v>
      </c>
      <c r="N294" s="24">
        <v>2019</v>
      </c>
    </row>
    <row r="295" spans="1:14">
      <c r="A295" s="24">
        <v>2018</v>
      </c>
      <c r="B295" s="24" t="s">
        <v>136</v>
      </c>
      <c r="C295" s="24" t="s">
        <v>160</v>
      </c>
      <c r="D295" s="24" t="s">
        <v>306</v>
      </c>
      <c r="E295" s="23">
        <v>6</v>
      </c>
      <c r="F295" s="24" t="s">
        <v>207</v>
      </c>
      <c r="G295" s="24" t="s">
        <v>225</v>
      </c>
      <c r="H295" s="23" t="s">
        <v>226</v>
      </c>
      <c r="I295" s="24" t="s">
        <v>225</v>
      </c>
      <c r="J295" s="23" t="s">
        <v>226</v>
      </c>
      <c r="K295" s="24" t="s">
        <v>226</v>
      </c>
      <c r="L295" s="23"/>
      <c r="M295" s="25">
        <v>43679</v>
      </c>
      <c r="N295" s="24">
        <v>2019</v>
      </c>
    </row>
    <row r="296" spans="1:14">
      <c r="A296" s="24">
        <v>2018</v>
      </c>
      <c r="B296" s="24" t="s">
        <v>4</v>
      </c>
      <c r="C296" s="24" t="s">
        <v>5</v>
      </c>
      <c r="D296" s="24" t="s">
        <v>6</v>
      </c>
      <c r="E296" s="23">
        <v>1</v>
      </c>
      <c r="F296" s="24" t="s">
        <v>207</v>
      </c>
      <c r="G296" s="24" t="s">
        <v>225</v>
      </c>
      <c r="H296" s="23" t="s">
        <v>226</v>
      </c>
      <c r="I296" s="24" t="s">
        <v>225</v>
      </c>
      <c r="J296" s="23" t="s">
        <v>226</v>
      </c>
      <c r="K296" s="24" t="s">
        <v>226</v>
      </c>
      <c r="L296" s="23"/>
      <c r="M296" s="25">
        <v>43680</v>
      </c>
      <c r="N296" s="24">
        <v>2019</v>
      </c>
    </row>
    <row r="297" spans="1:14">
      <c r="A297" s="24">
        <v>2018</v>
      </c>
      <c r="B297" s="24" t="s">
        <v>136</v>
      </c>
      <c r="C297" s="24" t="s">
        <v>189</v>
      </c>
      <c r="D297" s="24" t="s">
        <v>259</v>
      </c>
      <c r="E297" s="23">
        <v>5</v>
      </c>
      <c r="F297" s="24" t="s">
        <v>211</v>
      </c>
      <c r="G297" s="24" t="s">
        <v>225</v>
      </c>
      <c r="H297" s="23" t="s">
        <v>226</v>
      </c>
      <c r="I297" s="24" t="s">
        <v>225</v>
      </c>
      <c r="J297" s="23" t="s">
        <v>226</v>
      </c>
      <c r="K297" s="24" t="s">
        <v>226</v>
      </c>
      <c r="L297" s="23"/>
      <c r="M297" s="25">
        <v>43680</v>
      </c>
      <c r="N297" s="24">
        <v>2019</v>
      </c>
    </row>
    <row r="298" spans="1:14">
      <c r="A298" s="24">
        <v>2018</v>
      </c>
      <c r="B298" s="24" t="s">
        <v>4</v>
      </c>
      <c r="C298" s="24" t="s">
        <v>5</v>
      </c>
      <c r="D298" s="24" t="s">
        <v>11</v>
      </c>
      <c r="E298" s="23">
        <v>5</v>
      </c>
      <c r="F298" s="24" t="s">
        <v>211</v>
      </c>
      <c r="G298" s="24" t="s">
        <v>225</v>
      </c>
      <c r="H298" s="23" t="s">
        <v>226</v>
      </c>
      <c r="I298" s="24" t="s">
        <v>226</v>
      </c>
      <c r="J298" s="23" t="s">
        <v>226</v>
      </c>
      <c r="K298" s="24" t="s">
        <v>226</v>
      </c>
      <c r="L298" s="23"/>
      <c r="M298" s="25">
        <v>43680</v>
      </c>
      <c r="N298" s="24">
        <v>2019</v>
      </c>
    </row>
    <row r="299" spans="1:14">
      <c r="A299" s="24">
        <v>2018</v>
      </c>
      <c r="B299" s="24" t="s">
        <v>78</v>
      </c>
      <c r="C299" s="24" t="s">
        <v>79</v>
      </c>
      <c r="D299" s="24" t="s">
        <v>342</v>
      </c>
      <c r="E299" s="23">
        <v>4</v>
      </c>
      <c r="F299" s="24" t="s">
        <v>211</v>
      </c>
      <c r="G299" s="24" t="s">
        <v>225</v>
      </c>
      <c r="H299" s="23" t="s">
        <v>226</v>
      </c>
      <c r="I299" s="24" t="s">
        <v>226</v>
      </c>
      <c r="J299" s="23" t="s">
        <v>226</v>
      </c>
      <c r="K299" s="24" t="s">
        <v>226</v>
      </c>
      <c r="L299" s="23"/>
      <c r="M299" s="25">
        <v>43684</v>
      </c>
      <c r="N299" s="24">
        <v>2019</v>
      </c>
    </row>
    <row r="300" spans="1:14">
      <c r="A300" s="24">
        <v>2018</v>
      </c>
      <c r="B300" s="24" t="s">
        <v>136</v>
      </c>
      <c r="C300" s="24" t="s">
        <v>146</v>
      </c>
      <c r="D300" s="24"/>
      <c r="E300" s="23">
        <v>3</v>
      </c>
      <c r="F300" s="24" t="s">
        <v>211</v>
      </c>
      <c r="G300" s="24" t="s">
        <v>225</v>
      </c>
      <c r="H300" s="23" t="s">
        <v>226</v>
      </c>
      <c r="I300" s="24" t="s">
        <v>225</v>
      </c>
      <c r="J300" s="23" t="s">
        <v>226</v>
      </c>
      <c r="K300" s="24" t="s">
        <v>226</v>
      </c>
      <c r="L300" s="23"/>
      <c r="M300" s="25">
        <v>43713</v>
      </c>
      <c r="N300" s="24">
        <v>2019</v>
      </c>
    </row>
    <row r="301" spans="1:14">
      <c r="A301" s="24">
        <v>2018</v>
      </c>
      <c r="B301" s="24" t="s">
        <v>136</v>
      </c>
      <c r="C301" s="24" t="s">
        <v>152</v>
      </c>
      <c r="D301" s="24" t="s">
        <v>159</v>
      </c>
      <c r="E301" s="23">
        <v>2</v>
      </c>
      <c r="F301" s="24" t="s">
        <v>211</v>
      </c>
      <c r="G301" s="24" t="s">
        <v>225</v>
      </c>
      <c r="H301" s="23" t="s">
        <v>226</v>
      </c>
      <c r="I301" s="24" t="s">
        <v>226</v>
      </c>
      <c r="J301" s="23" t="s">
        <v>226</v>
      </c>
      <c r="K301" s="24" t="s">
        <v>226</v>
      </c>
      <c r="L301" s="23"/>
      <c r="M301" s="25">
        <v>43715</v>
      </c>
      <c r="N301" s="24">
        <v>2019</v>
      </c>
    </row>
    <row r="302" spans="1:14">
      <c r="A302" s="24">
        <v>2018</v>
      </c>
      <c r="B302" s="24" t="s">
        <v>78</v>
      </c>
      <c r="C302" s="24" t="s">
        <v>79</v>
      </c>
      <c r="D302" s="24" t="s">
        <v>56</v>
      </c>
      <c r="E302" s="23"/>
      <c r="F302" s="24" t="s">
        <v>207</v>
      </c>
      <c r="G302" s="24" t="s">
        <v>225</v>
      </c>
      <c r="H302" s="23" t="s">
        <v>225</v>
      </c>
      <c r="I302" s="24" t="s">
        <v>226</v>
      </c>
      <c r="J302" s="23" t="s">
        <v>226</v>
      </c>
      <c r="K302" s="24" t="s">
        <v>226</v>
      </c>
      <c r="L302" s="23"/>
      <c r="M302" s="25">
        <v>43715</v>
      </c>
      <c r="N302" s="24">
        <v>2019</v>
      </c>
    </row>
    <row r="303" spans="1:14">
      <c r="A303" s="24">
        <v>2018</v>
      </c>
      <c r="B303" s="24" t="s">
        <v>78</v>
      </c>
      <c r="C303" s="24" t="s">
        <v>79</v>
      </c>
      <c r="D303" s="24" t="s">
        <v>341</v>
      </c>
      <c r="E303" s="23">
        <v>5</v>
      </c>
      <c r="F303" s="24" t="s">
        <v>211</v>
      </c>
      <c r="G303" s="24" t="s">
        <v>225</v>
      </c>
      <c r="H303" s="23" t="s">
        <v>226</v>
      </c>
      <c r="I303" s="24" t="s">
        <v>226</v>
      </c>
      <c r="J303" s="23" t="s">
        <v>226</v>
      </c>
      <c r="K303" s="24" t="s">
        <v>226</v>
      </c>
      <c r="L303" s="23"/>
      <c r="M303" s="25">
        <v>43715</v>
      </c>
      <c r="N303" s="24">
        <v>2019</v>
      </c>
    </row>
    <row r="304" spans="1:14">
      <c r="A304" s="24">
        <v>2018</v>
      </c>
      <c r="B304" s="24" t="s">
        <v>78</v>
      </c>
      <c r="C304" s="24" t="s">
        <v>681</v>
      </c>
      <c r="D304" s="24" t="s">
        <v>200</v>
      </c>
      <c r="E304" s="23">
        <v>14</v>
      </c>
      <c r="F304" s="24" t="s">
        <v>207</v>
      </c>
      <c r="G304" s="23" t="s">
        <v>226</v>
      </c>
      <c r="H304" s="23" t="s">
        <v>226</v>
      </c>
      <c r="I304" s="24" t="s">
        <v>225</v>
      </c>
      <c r="J304" s="23" t="s">
        <v>226</v>
      </c>
      <c r="K304" s="24" t="s">
        <v>226</v>
      </c>
      <c r="L304" s="23"/>
      <c r="M304" s="25">
        <v>43717</v>
      </c>
      <c r="N304" s="24">
        <v>2019</v>
      </c>
    </row>
    <row r="305" spans="1:14">
      <c r="A305" s="24">
        <v>2018</v>
      </c>
      <c r="B305" s="24" t="s">
        <v>136</v>
      </c>
      <c r="C305" s="24" t="s">
        <v>189</v>
      </c>
      <c r="D305" s="24" t="s">
        <v>264</v>
      </c>
      <c r="E305" s="23"/>
      <c r="F305" s="24" t="s">
        <v>207</v>
      </c>
      <c r="G305" s="24" t="s">
        <v>225</v>
      </c>
      <c r="H305" s="23" t="s">
        <v>225</v>
      </c>
      <c r="I305" s="24" t="s">
        <v>225</v>
      </c>
      <c r="J305" s="23" t="s">
        <v>226</v>
      </c>
      <c r="K305" s="24" t="s">
        <v>226</v>
      </c>
      <c r="L305" s="23"/>
      <c r="M305" s="25">
        <v>43739</v>
      </c>
      <c r="N305" s="24">
        <v>2019</v>
      </c>
    </row>
    <row r="306" spans="1:14">
      <c r="A306" s="24">
        <v>2018</v>
      </c>
      <c r="B306" s="24" t="s">
        <v>4</v>
      </c>
      <c r="C306" s="24" t="s">
        <v>23</v>
      </c>
      <c r="D306" s="24" t="s">
        <v>26</v>
      </c>
      <c r="E306" s="23">
        <v>47</v>
      </c>
      <c r="F306" s="24" t="s">
        <v>207</v>
      </c>
      <c r="G306" s="24" t="s">
        <v>225</v>
      </c>
      <c r="H306" s="23" t="s">
        <v>226</v>
      </c>
      <c r="I306" s="24" t="s">
        <v>225</v>
      </c>
      <c r="J306" s="23" t="s">
        <v>226</v>
      </c>
      <c r="K306" s="24" t="s">
        <v>226</v>
      </c>
      <c r="L306" s="23"/>
      <c r="M306" s="25">
        <v>43742</v>
      </c>
      <c r="N306" s="24">
        <v>2019</v>
      </c>
    </row>
    <row r="307" spans="1:14">
      <c r="A307" s="24">
        <v>2018</v>
      </c>
      <c r="B307" s="24" t="s">
        <v>4</v>
      </c>
      <c r="C307" s="24" t="s">
        <v>5</v>
      </c>
      <c r="D307" s="24" t="s">
        <v>11</v>
      </c>
      <c r="E307" s="23">
        <v>2</v>
      </c>
      <c r="F307" s="24" t="s">
        <v>211</v>
      </c>
      <c r="G307" s="24" t="s">
        <v>225</v>
      </c>
      <c r="H307" s="23" t="s">
        <v>226</v>
      </c>
      <c r="I307" s="24" t="s">
        <v>226</v>
      </c>
      <c r="J307" s="23" t="s">
        <v>226</v>
      </c>
      <c r="K307" s="24" t="s">
        <v>226</v>
      </c>
      <c r="L307" s="23"/>
      <c r="M307" s="25">
        <v>43743</v>
      </c>
      <c r="N307" s="24">
        <v>2019</v>
      </c>
    </row>
    <row r="308" spans="1:14">
      <c r="A308" s="24">
        <v>2018</v>
      </c>
      <c r="B308" s="24" t="s">
        <v>4</v>
      </c>
      <c r="C308" s="24" t="s">
        <v>23</v>
      </c>
      <c r="D308" s="24" t="s">
        <v>24</v>
      </c>
      <c r="E308" s="23">
        <v>1</v>
      </c>
      <c r="F308" s="24" t="s">
        <v>207</v>
      </c>
      <c r="G308" s="24" t="s">
        <v>225</v>
      </c>
      <c r="H308" s="23" t="s">
        <v>226</v>
      </c>
      <c r="I308" s="24" t="s">
        <v>225</v>
      </c>
      <c r="J308" s="23" t="s">
        <v>226</v>
      </c>
      <c r="K308" s="24" t="s">
        <v>225</v>
      </c>
      <c r="L308" s="23"/>
      <c r="M308" s="25">
        <v>43743</v>
      </c>
      <c r="N308" s="24">
        <v>2019</v>
      </c>
    </row>
    <row r="309" spans="1:14">
      <c r="A309" s="24">
        <v>2018</v>
      </c>
      <c r="B309" s="24" t="s">
        <v>78</v>
      </c>
      <c r="C309" s="24" t="s">
        <v>95</v>
      </c>
      <c r="D309" s="24" t="s">
        <v>363</v>
      </c>
      <c r="E309" s="23">
        <v>18</v>
      </c>
      <c r="F309" s="24" t="s">
        <v>211</v>
      </c>
      <c r="G309" s="24" t="s">
        <v>225</v>
      </c>
      <c r="H309" s="23" t="s">
        <v>226</v>
      </c>
      <c r="I309" s="24" t="s">
        <v>226</v>
      </c>
      <c r="J309" s="23" t="s">
        <v>226</v>
      </c>
      <c r="K309" s="24" t="s">
        <v>226</v>
      </c>
      <c r="L309" s="23"/>
      <c r="M309" s="25">
        <v>43743</v>
      </c>
      <c r="N309" s="24">
        <v>2019</v>
      </c>
    </row>
    <row r="310" spans="1:14">
      <c r="A310" s="24">
        <v>2018</v>
      </c>
      <c r="B310" s="24" t="s">
        <v>78</v>
      </c>
      <c r="C310" s="24" t="s">
        <v>79</v>
      </c>
      <c r="D310" s="24" t="s">
        <v>55</v>
      </c>
      <c r="E310" s="23">
        <v>4</v>
      </c>
      <c r="F310" s="24" t="s">
        <v>211</v>
      </c>
      <c r="G310" s="23" t="s">
        <v>226</v>
      </c>
      <c r="H310" s="23" t="s">
        <v>226</v>
      </c>
      <c r="I310" s="24" t="s">
        <v>226</v>
      </c>
      <c r="J310" s="23" t="s">
        <v>226</v>
      </c>
      <c r="K310" s="24" t="s">
        <v>226</v>
      </c>
      <c r="L310" s="23"/>
      <c r="M310" s="25">
        <v>43744</v>
      </c>
      <c r="N310" s="24">
        <v>2019</v>
      </c>
    </row>
    <row r="311" spans="1:14">
      <c r="A311" s="24">
        <v>2018</v>
      </c>
      <c r="B311" s="24" t="s">
        <v>136</v>
      </c>
      <c r="C311" s="24" t="s">
        <v>189</v>
      </c>
      <c r="D311" s="24" t="s">
        <v>258</v>
      </c>
      <c r="E311" s="23"/>
      <c r="F311" s="24" t="s">
        <v>211</v>
      </c>
      <c r="G311" s="24" t="s">
        <v>225</v>
      </c>
      <c r="H311" s="23" t="s">
        <v>225</v>
      </c>
      <c r="I311" s="24" t="s">
        <v>226</v>
      </c>
      <c r="J311" s="23" t="s">
        <v>226</v>
      </c>
      <c r="K311" s="24" t="s">
        <v>226</v>
      </c>
      <c r="L311" s="23"/>
      <c r="M311" s="25">
        <v>43744</v>
      </c>
      <c r="N311" s="24">
        <v>2019</v>
      </c>
    </row>
    <row r="312" spans="1:14">
      <c r="A312" s="24">
        <v>2018</v>
      </c>
      <c r="B312" s="24" t="s">
        <v>136</v>
      </c>
      <c r="C312" s="24" t="s">
        <v>168</v>
      </c>
      <c r="D312" s="24" t="s">
        <v>314</v>
      </c>
      <c r="E312" s="23">
        <v>1</v>
      </c>
      <c r="F312" s="24" t="s">
        <v>211</v>
      </c>
      <c r="G312" s="24" t="s">
        <v>225</v>
      </c>
      <c r="H312" s="23" t="s">
        <v>226</v>
      </c>
      <c r="I312" s="24" t="s">
        <v>226</v>
      </c>
      <c r="J312" s="23" t="s">
        <v>226</v>
      </c>
      <c r="K312" s="24" t="s">
        <v>226</v>
      </c>
      <c r="L312" s="23"/>
      <c r="M312" s="25">
        <v>43744</v>
      </c>
      <c r="N312" s="24">
        <v>2019</v>
      </c>
    </row>
    <row r="313" spans="1:14">
      <c r="A313" s="24">
        <v>2018</v>
      </c>
      <c r="B313" s="24" t="s">
        <v>136</v>
      </c>
      <c r="C313" s="24" t="s">
        <v>189</v>
      </c>
      <c r="D313" s="24" t="s">
        <v>298</v>
      </c>
      <c r="E313" s="23">
        <v>1</v>
      </c>
      <c r="F313" s="24" t="s">
        <v>211</v>
      </c>
      <c r="G313" s="24" t="s">
        <v>225</v>
      </c>
      <c r="H313" s="23" t="s">
        <v>226</v>
      </c>
      <c r="I313" s="24" t="s">
        <v>226</v>
      </c>
      <c r="J313" s="23" t="s">
        <v>226</v>
      </c>
      <c r="K313" s="24" t="s">
        <v>226</v>
      </c>
      <c r="L313" s="23"/>
      <c r="M313" s="25">
        <v>43744</v>
      </c>
      <c r="N313" s="24">
        <v>2019</v>
      </c>
    </row>
    <row r="314" spans="1:14">
      <c r="A314" s="24">
        <v>2018</v>
      </c>
      <c r="B314" s="24" t="s">
        <v>136</v>
      </c>
      <c r="C314" s="24" t="s">
        <v>146</v>
      </c>
      <c r="D314" s="24" t="s">
        <v>151</v>
      </c>
      <c r="E314" s="23"/>
      <c r="F314" s="24" t="s">
        <v>211</v>
      </c>
      <c r="G314" s="24" t="s">
        <v>225</v>
      </c>
      <c r="H314" s="23" t="s">
        <v>225</v>
      </c>
      <c r="I314" s="24" t="s">
        <v>226</v>
      </c>
      <c r="J314" s="23" t="s">
        <v>226</v>
      </c>
      <c r="K314" s="24" t="s">
        <v>226</v>
      </c>
      <c r="L314" s="23"/>
      <c r="M314" s="25">
        <v>43744</v>
      </c>
      <c r="N314" s="24">
        <v>2019</v>
      </c>
    </row>
    <row r="315" spans="1:14">
      <c r="A315" s="24">
        <v>2018</v>
      </c>
      <c r="B315" s="24" t="s">
        <v>78</v>
      </c>
      <c r="C315" s="24" t="s">
        <v>681</v>
      </c>
      <c r="D315" s="24" t="s">
        <v>198</v>
      </c>
      <c r="E315" s="23">
        <v>2</v>
      </c>
      <c r="F315" s="24" t="s">
        <v>207</v>
      </c>
      <c r="G315" s="24" t="s">
        <v>225</v>
      </c>
      <c r="H315" s="23" t="s">
        <v>226</v>
      </c>
      <c r="I315" s="24" t="s">
        <v>225</v>
      </c>
      <c r="J315" s="23" t="s">
        <v>226</v>
      </c>
      <c r="K315" s="24" t="s">
        <v>226</v>
      </c>
      <c r="L315" s="23"/>
      <c r="M315" s="25">
        <v>43745</v>
      </c>
      <c r="N315" s="24">
        <v>2019</v>
      </c>
    </row>
    <row r="316" spans="1:14">
      <c r="A316" s="24">
        <v>2018</v>
      </c>
      <c r="B316" s="24" t="s">
        <v>4</v>
      </c>
      <c r="C316" s="24" t="s">
        <v>23</v>
      </c>
      <c r="D316" s="24" t="s">
        <v>27</v>
      </c>
      <c r="E316" s="23">
        <v>40</v>
      </c>
      <c r="F316" s="24" t="s">
        <v>207</v>
      </c>
      <c r="G316" s="24" t="s">
        <v>225</v>
      </c>
      <c r="H316" s="23" t="s">
        <v>226</v>
      </c>
      <c r="I316" s="24" t="s">
        <v>225</v>
      </c>
      <c r="J316" s="23" t="s">
        <v>226</v>
      </c>
      <c r="K316" s="24" t="s">
        <v>226</v>
      </c>
      <c r="L316" s="23"/>
      <c r="M316" s="25">
        <v>43745</v>
      </c>
      <c r="N316" s="24">
        <v>2019</v>
      </c>
    </row>
    <row r="317" spans="1:14">
      <c r="A317" s="24">
        <v>2018</v>
      </c>
      <c r="B317" s="24" t="s">
        <v>4</v>
      </c>
      <c r="C317" s="24" t="s">
        <v>5</v>
      </c>
      <c r="D317" s="24" t="s">
        <v>7</v>
      </c>
      <c r="E317" s="23">
        <v>15</v>
      </c>
      <c r="F317" s="24" t="s">
        <v>207</v>
      </c>
      <c r="G317" s="24" t="s">
        <v>225</v>
      </c>
      <c r="H317" s="23" t="s">
        <v>226</v>
      </c>
      <c r="I317" s="24" t="s">
        <v>226</v>
      </c>
      <c r="J317" s="23" t="s">
        <v>226</v>
      </c>
      <c r="K317" s="24" t="s">
        <v>226</v>
      </c>
      <c r="L317" s="23"/>
      <c r="M317" s="25">
        <v>43747</v>
      </c>
      <c r="N317" s="24">
        <v>2019</v>
      </c>
    </row>
    <row r="318" spans="1:14">
      <c r="A318" s="24">
        <v>2018</v>
      </c>
      <c r="B318" s="24" t="s">
        <v>4</v>
      </c>
      <c r="C318" s="24" t="s">
        <v>203</v>
      </c>
      <c r="D318" s="24" t="s">
        <v>39</v>
      </c>
      <c r="E318" s="23">
        <v>22</v>
      </c>
      <c r="F318" s="24" t="s">
        <v>211</v>
      </c>
      <c r="G318" s="24" t="s">
        <v>225</v>
      </c>
      <c r="H318" s="23" t="s">
        <v>226</v>
      </c>
      <c r="I318" s="24" t="s">
        <v>226</v>
      </c>
      <c r="J318" s="23" t="s">
        <v>226</v>
      </c>
      <c r="K318" s="24" t="s">
        <v>226</v>
      </c>
      <c r="L318" s="23"/>
      <c r="M318" s="25">
        <v>43747</v>
      </c>
      <c r="N318" s="24">
        <v>2019</v>
      </c>
    </row>
    <row r="319" spans="1:14">
      <c r="A319" s="24">
        <v>2018</v>
      </c>
      <c r="B319" s="24" t="s">
        <v>4</v>
      </c>
      <c r="C319" s="24" t="s">
        <v>23</v>
      </c>
      <c r="D319" s="24" t="s">
        <v>29</v>
      </c>
      <c r="E319" s="23">
        <v>41</v>
      </c>
      <c r="F319" s="24" t="s">
        <v>211</v>
      </c>
      <c r="G319" s="24" t="s">
        <v>225</v>
      </c>
      <c r="H319" s="23" t="s">
        <v>226</v>
      </c>
      <c r="I319" s="24" t="s">
        <v>226</v>
      </c>
      <c r="J319" s="23" t="s">
        <v>226</v>
      </c>
      <c r="K319" s="24" t="s">
        <v>226</v>
      </c>
      <c r="L319" s="23"/>
      <c r="M319" s="25">
        <v>43747</v>
      </c>
      <c r="N319" s="24">
        <v>2019</v>
      </c>
    </row>
    <row r="320" spans="1:14">
      <c r="A320" s="24">
        <v>2018</v>
      </c>
      <c r="B320" s="24" t="s">
        <v>136</v>
      </c>
      <c r="C320" s="24" t="s">
        <v>137</v>
      </c>
      <c r="D320" s="24" t="s">
        <v>138</v>
      </c>
      <c r="E320" s="23">
        <v>13</v>
      </c>
      <c r="F320" s="24" t="s">
        <v>207</v>
      </c>
      <c r="G320" s="24" t="s">
        <v>225</v>
      </c>
      <c r="H320" s="23" t="s">
        <v>226</v>
      </c>
      <c r="I320" s="24" t="s">
        <v>226</v>
      </c>
      <c r="J320" s="23" t="s">
        <v>226</v>
      </c>
      <c r="K320" s="24" t="s">
        <v>226</v>
      </c>
      <c r="L320" s="23"/>
      <c r="M320" s="25">
        <v>43747</v>
      </c>
      <c r="N320" s="24">
        <v>2019</v>
      </c>
    </row>
    <row r="321" spans="1:16">
      <c r="A321" s="24">
        <v>2018</v>
      </c>
      <c r="B321" s="24" t="s">
        <v>78</v>
      </c>
      <c r="C321" s="24" t="s">
        <v>122</v>
      </c>
      <c r="D321" s="24" t="s">
        <v>130</v>
      </c>
      <c r="E321" s="23">
        <v>18</v>
      </c>
      <c r="F321" s="24" t="s">
        <v>211</v>
      </c>
      <c r="G321" s="24" t="s">
        <v>225</v>
      </c>
      <c r="H321" s="23" t="s">
        <v>226</v>
      </c>
      <c r="I321" s="24" t="s">
        <v>226</v>
      </c>
      <c r="J321" s="23" t="s">
        <v>226</v>
      </c>
      <c r="K321" s="24" t="s">
        <v>226</v>
      </c>
      <c r="L321" s="23"/>
      <c r="M321" s="25">
        <v>43770</v>
      </c>
      <c r="N321" s="24">
        <v>2019</v>
      </c>
      <c r="P321">
        <f>AVERAGE(E158:E267)</f>
        <v>9.4935064935064943</v>
      </c>
    </row>
    <row r="322" spans="1:16">
      <c r="A322" s="24">
        <v>2018</v>
      </c>
      <c r="B322" s="24" t="s">
        <v>78</v>
      </c>
      <c r="C322" s="24" t="s">
        <v>103</v>
      </c>
      <c r="D322" s="24" t="s">
        <v>109</v>
      </c>
      <c r="E322" s="23"/>
      <c r="F322" s="24" t="s">
        <v>207</v>
      </c>
      <c r="G322" s="24" t="s">
        <v>225</v>
      </c>
      <c r="H322" s="23" t="s">
        <v>225</v>
      </c>
      <c r="I322" s="24" t="s">
        <v>225</v>
      </c>
      <c r="J322" s="23" t="s">
        <v>226</v>
      </c>
      <c r="K322" s="24" t="s">
        <v>226</v>
      </c>
      <c r="L322" s="23"/>
      <c r="M322" s="25">
        <v>43770</v>
      </c>
      <c r="N322" s="24">
        <v>2019</v>
      </c>
    </row>
    <row r="323" spans="1:16">
      <c r="A323" s="24">
        <v>2018</v>
      </c>
      <c r="B323" s="24" t="s">
        <v>136</v>
      </c>
      <c r="C323" s="24" t="s">
        <v>160</v>
      </c>
      <c r="D323" s="24" t="s">
        <v>161</v>
      </c>
      <c r="E323" s="23">
        <v>1</v>
      </c>
      <c r="F323" s="24" t="s">
        <v>211</v>
      </c>
      <c r="G323" s="24" t="s">
        <v>225</v>
      </c>
      <c r="H323" s="23" t="s">
        <v>226</v>
      </c>
      <c r="I323" s="24" t="s">
        <v>226</v>
      </c>
      <c r="J323" s="23" t="s">
        <v>226</v>
      </c>
      <c r="K323" s="24" t="s">
        <v>226</v>
      </c>
      <c r="L323" s="23"/>
      <c r="M323" s="25">
        <v>43770</v>
      </c>
      <c r="N323" s="24">
        <v>2019</v>
      </c>
    </row>
    <row r="324" spans="1:16">
      <c r="A324" s="24">
        <v>2018</v>
      </c>
      <c r="B324" s="24" t="s">
        <v>4</v>
      </c>
      <c r="C324" s="24" t="s">
        <v>23</v>
      </c>
      <c r="D324" s="24" t="s">
        <v>26</v>
      </c>
      <c r="E324" s="23">
        <v>3</v>
      </c>
      <c r="F324" s="24" t="s">
        <v>211</v>
      </c>
      <c r="G324" s="24" t="s">
        <v>225</v>
      </c>
      <c r="H324" s="23" t="s">
        <v>226</v>
      </c>
      <c r="I324" s="24" t="s">
        <v>225</v>
      </c>
      <c r="J324" s="23" t="s">
        <v>226</v>
      </c>
      <c r="K324" s="24" t="s">
        <v>226</v>
      </c>
      <c r="L324" s="23"/>
      <c r="M324" s="25">
        <v>43770</v>
      </c>
      <c r="N324" s="24">
        <v>2019</v>
      </c>
    </row>
    <row r="325" spans="1:16">
      <c r="A325" s="24">
        <v>2018</v>
      </c>
      <c r="B325" s="24" t="s">
        <v>136</v>
      </c>
      <c r="C325" s="24" t="s">
        <v>152</v>
      </c>
      <c r="D325" s="24" t="s">
        <v>158</v>
      </c>
      <c r="E325" s="23">
        <v>3</v>
      </c>
      <c r="F325" s="24" t="s">
        <v>207</v>
      </c>
      <c r="G325" s="24" t="s">
        <v>225</v>
      </c>
      <c r="H325" s="23" t="s">
        <v>226</v>
      </c>
      <c r="I325" s="24" t="s">
        <v>225</v>
      </c>
      <c r="J325" s="23" t="s">
        <v>226</v>
      </c>
      <c r="K325" s="24" t="s">
        <v>226</v>
      </c>
      <c r="L325" s="23"/>
      <c r="M325" s="25">
        <v>43770</v>
      </c>
      <c r="N325" s="24">
        <v>2019</v>
      </c>
    </row>
    <row r="326" spans="1:16">
      <c r="A326" s="24">
        <v>2018</v>
      </c>
      <c r="B326" s="24" t="s">
        <v>136</v>
      </c>
      <c r="C326" s="24" t="s">
        <v>152</v>
      </c>
      <c r="D326" s="24" t="s">
        <v>154</v>
      </c>
      <c r="E326" s="23">
        <v>2</v>
      </c>
      <c r="F326" s="24" t="s">
        <v>211</v>
      </c>
      <c r="G326" s="24" t="s">
        <v>225</v>
      </c>
      <c r="H326" s="23" t="s">
        <v>226</v>
      </c>
      <c r="I326" s="24" t="s">
        <v>226</v>
      </c>
      <c r="J326" s="23" t="s">
        <v>226</v>
      </c>
      <c r="K326" s="24" t="s">
        <v>226</v>
      </c>
      <c r="L326" s="23"/>
      <c r="M326" s="25">
        <v>43771</v>
      </c>
      <c r="N326" s="24">
        <v>2019</v>
      </c>
    </row>
    <row r="327" spans="1:16">
      <c r="A327" s="24">
        <v>2018</v>
      </c>
      <c r="B327" s="24" t="s">
        <v>78</v>
      </c>
      <c r="C327" s="24" t="s">
        <v>681</v>
      </c>
      <c r="D327" s="24" t="s">
        <v>201</v>
      </c>
      <c r="E327" s="23">
        <v>5</v>
      </c>
      <c r="F327" s="24" t="s">
        <v>207</v>
      </c>
      <c r="G327" s="24" t="s">
        <v>225</v>
      </c>
      <c r="H327" s="23" t="s">
        <v>226</v>
      </c>
      <c r="I327" s="24" t="s">
        <v>226</v>
      </c>
      <c r="J327" s="23" t="s">
        <v>226</v>
      </c>
      <c r="K327" s="24" t="s">
        <v>226</v>
      </c>
      <c r="L327" s="23"/>
      <c r="M327" s="25">
        <v>43771</v>
      </c>
      <c r="N327" s="24">
        <v>2019</v>
      </c>
    </row>
    <row r="328" spans="1:16">
      <c r="A328" s="24">
        <v>2018</v>
      </c>
      <c r="B328" s="24" t="s">
        <v>78</v>
      </c>
      <c r="C328" s="24" t="s">
        <v>103</v>
      </c>
      <c r="D328" s="24" t="s">
        <v>109</v>
      </c>
      <c r="E328" s="23"/>
      <c r="F328" s="24" t="s">
        <v>207</v>
      </c>
      <c r="G328" s="24" t="s">
        <v>225</v>
      </c>
      <c r="H328" s="23" t="s">
        <v>225</v>
      </c>
      <c r="I328" s="24" t="s">
        <v>225</v>
      </c>
      <c r="J328" s="23" t="s">
        <v>226</v>
      </c>
      <c r="K328" s="24" t="s">
        <v>226</v>
      </c>
      <c r="L328" s="23"/>
      <c r="M328" s="25">
        <v>43772</v>
      </c>
      <c r="N328" s="24">
        <v>2019</v>
      </c>
    </row>
    <row r="329" spans="1:16">
      <c r="A329" s="24">
        <v>2018</v>
      </c>
      <c r="B329" s="24" t="s">
        <v>4</v>
      </c>
      <c r="C329" s="24" t="s">
        <v>203</v>
      </c>
      <c r="D329" s="24" t="s">
        <v>42</v>
      </c>
      <c r="E329" s="23">
        <v>5</v>
      </c>
      <c r="F329" s="24" t="s">
        <v>211</v>
      </c>
      <c r="G329" s="24" t="s">
        <v>225</v>
      </c>
      <c r="H329" s="23" t="s">
        <v>226</v>
      </c>
      <c r="I329" s="24" t="s">
        <v>226</v>
      </c>
      <c r="J329" s="23" t="s">
        <v>226</v>
      </c>
      <c r="K329" s="24" t="s">
        <v>226</v>
      </c>
      <c r="L329" s="23"/>
      <c r="M329" s="25">
        <v>43772</v>
      </c>
      <c r="N329" s="24">
        <v>2019</v>
      </c>
    </row>
    <row r="330" spans="1:16">
      <c r="A330" s="24">
        <v>2018</v>
      </c>
      <c r="B330" s="24" t="s">
        <v>4</v>
      </c>
      <c r="C330" s="24" t="s">
        <v>203</v>
      </c>
      <c r="D330" s="24" t="s">
        <v>204</v>
      </c>
      <c r="E330" s="23">
        <v>22</v>
      </c>
      <c r="F330" s="24" t="s">
        <v>207</v>
      </c>
      <c r="G330" s="24" t="s">
        <v>225</v>
      </c>
      <c r="H330" s="23" t="s">
        <v>226</v>
      </c>
      <c r="I330" s="24" t="s">
        <v>226</v>
      </c>
      <c r="J330" s="23" t="s">
        <v>226</v>
      </c>
      <c r="K330" s="24" t="s">
        <v>226</v>
      </c>
      <c r="L330" s="23"/>
      <c r="M330" s="25">
        <v>43772</v>
      </c>
      <c r="N330" s="24">
        <v>2019</v>
      </c>
    </row>
    <row r="331" spans="1:16">
      <c r="A331" s="24">
        <v>2018</v>
      </c>
      <c r="B331" s="24" t="s">
        <v>136</v>
      </c>
      <c r="C331" s="24" t="s">
        <v>146</v>
      </c>
      <c r="D331" s="24" t="s">
        <v>147</v>
      </c>
      <c r="E331" s="23"/>
      <c r="F331" s="24" t="s">
        <v>207</v>
      </c>
      <c r="G331" s="24" t="s">
        <v>225</v>
      </c>
      <c r="H331" s="23" t="s">
        <v>225</v>
      </c>
      <c r="I331" s="24" t="s">
        <v>225</v>
      </c>
      <c r="J331" s="23" t="s">
        <v>226</v>
      </c>
      <c r="K331" s="24" t="s">
        <v>226</v>
      </c>
      <c r="L331" s="23"/>
      <c r="M331" s="25">
        <v>43773</v>
      </c>
      <c r="N331" s="24">
        <v>2019</v>
      </c>
    </row>
    <row r="332" spans="1:16">
      <c r="A332" s="24">
        <v>2018</v>
      </c>
      <c r="B332" s="24" t="s">
        <v>4</v>
      </c>
      <c r="C332" s="24" t="s">
        <v>23</v>
      </c>
      <c r="D332" s="24"/>
      <c r="E332" s="23">
        <v>4</v>
      </c>
      <c r="F332" s="24" t="s">
        <v>207</v>
      </c>
      <c r="G332" s="24" t="s">
        <v>225</v>
      </c>
      <c r="H332" s="23" t="s">
        <v>226</v>
      </c>
      <c r="I332" s="24" t="s">
        <v>225</v>
      </c>
      <c r="J332" s="23" t="s">
        <v>226</v>
      </c>
      <c r="K332" s="24" t="s">
        <v>226</v>
      </c>
      <c r="L332" s="23"/>
      <c r="M332" s="25">
        <v>43773</v>
      </c>
      <c r="N332" s="24">
        <v>2019</v>
      </c>
    </row>
    <row r="333" spans="1:16">
      <c r="A333" s="24">
        <v>2018</v>
      </c>
      <c r="B333" s="24" t="s">
        <v>78</v>
      </c>
      <c r="C333" s="24" t="s">
        <v>88</v>
      </c>
      <c r="D333" s="24" t="s">
        <v>364</v>
      </c>
      <c r="E333" s="23"/>
      <c r="F333" s="24" t="s">
        <v>211</v>
      </c>
      <c r="G333" s="24" t="s">
        <v>225</v>
      </c>
      <c r="H333" s="23" t="s">
        <v>225</v>
      </c>
      <c r="I333" s="24" t="s">
        <v>226</v>
      </c>
      <c r="J333" s="23" t="s">
        <v>226</v>
      </c>
      <c r="K333" s="24" t="s">
        <v>226</v>
      </c>
      <c r="L333" s="23"/>
      <c r="M333" s="25">
        <v>43773</v>
      </c>
      <c r="N333" s="24">
        <v>2019</v>
      </c>
    </row>
    <row r="334" spans="1:16">
      <c r="A334" s="24">
        <v>2018</v>
      </c>
      <c r="B334" s="24" t="s">
        <v>136</v>
      </c>
      <c r="C334" s="24" t="s">
        <v>137</v>
      </c>
      <c r="D334" s="24" t="s">
        <v>365</v>
      </c>
      <c r="E334" s="23">
        <v>3</v>
      </c>
      <c r="F334" s="24" t="s">
        <v>207</v>
      </c>
      <c r="G334" s="24" t="s">
        <v>225</v>
      </c>
      <c r="H334" s="23" t="s">
        <v>226</v>
      </c>
      <c r="I334" s="24" t="s">
        <v>225</v>
      </c>
      <c r="J334" s="23" t="s">
        <v>226</v>
      </c>
      <c r="K334" s="24" t="s">
        <v>226</v>
      </c>
      <c r="L334" s="23"/>
      <c r="M334" s="25">
        <v>43773</v>
      </c>
      <c r="N334" s="24">
        <v>2019</v>
      </c>
    </row>
    <row r="335" spans="1:16">
      <c r="A335" s="24">
        <v>2018</v>
      </c>
      <c r="B335" s="24" t="s">
        <v>136</v>
      </c>
      <c r="C335" s="24" t="s">
        <v>189</v>
      </c>
      <c r="D335" s="24" t="s">
        <v>298</v>
      </c>
      <c r="E335" s="23">
        <v>3</v>
      </c>
      <c r="F335" s="24" t="s">
        <v>211</v>
      </c>
      <c r="G335" s="23" t="s">
        <v>226</v>
      </c>
      <c r="H335" s="23" t="s">
        <v>226</v>
      </c>
      <c r="I335" s="24" t="s">
        <v>226</v>
      </c>
      <c r="J335" s="23" t="s">
        <v>226</v>
      </c>
      <c r="K335" s="24" t="s">
        <v>226</v>
      </c>
      <c r="L335" s="23"/>
      <c r="M335" s="25">
        <v>43775</v>
      </c>
      <c r="N335" s="24">
        <v>2019</v>
      </c>
    </row>
    <row r="336" spans="1:16">
      <c r="A336" s="24">
        <v>2018</v>
      </c>
      <c r="B336" s="24" t="s">
        <v>78</v>
      </c>
      <c r="C336" s="24" t="s">
        <v>119</v>
      </c>
      <c r="D336" s="24" t="s">
        <v>366</v>
      </c>
      <c r="E336" s="23">
        <v>1</v>
      </c>
      <c r="F336" s="24" t="s">
        <v>207</v>
      </c>
      <c r="G336" s="24" t="s">
        <v>225</v>
      </c>
      <c r="H336" s="23" t="s">
        <v>225</v>
      </c>
      <c r="I336" s="24" t="s">
        <v>225</v>
      </c>
      <c r="J336" s="23" t="s">
        <v>226</v>
      </c>
      <c r="K336" s="24" t="s">
        <v>226</v>
      </c>
      <c r="L336" s="23"/>
      <c r="M336" s="25">
        <v>43776</v>
      </c>
      <c r="N336" s="24">
        <v>2019</v>
      </c>
    </row>
    <row r="337" spans="1:14">
      <c r="A337" s="24">
        <v>2018</v>
      </c>
      <c r="B337" s="24" t="s">
        <v>78</v>
      </c>
      <c r="C337" s="24" t="s">
        <v>119</v>
      </c>
      <c r="D337" s="24" t="s">
        <v>366</v>
      </c>
      <c r="E337" s="23">
        <v>1</v>
      </c>
      <c r="F337" s="24" t="s">
        <v>207</v>
      </c>
      <c r="G337" s="24" t="s">
        <v>225</v>
      </c>
      <c r="H337" s="23" t="s">
        <v>225</v>
      </c>
      <c r="I337" s="24" t="s">
        <v>225</v>
      </c>
      <c r="J337" s="23" t="s">
        <v>226</v>
      </c>
      <c r="K337" s="24" t="s">
        <v>226</v>
      </c>
      <c r="L337" s="23"/>
      <c r="M337" s="25">
        <v>43776</v>
      </c>
      <c r="N337" s="24">
        <v>2019</v>
      </c>
    </row>
    <row r="338" spans="1:14">
      <c r="A338" s="24">
        <v>2018</v>
      </c>
      <c r="B338" s="24" t="s">
        <v>4</v>
      </c>
      <c r="C338" s="24" t="s">
        <v>5</v>
      </c>
      <c r="D338" s="24" t="s">
        <v>9</v>
      </c>
      <c r="E338" s="23">
        <v>11</v>
      </c>
      <c r="F338" s="24" t="s">
        <v>207</v>
      </c>
      <c r="G338" s="24" t="s">
        <v>225</v>
      </c>
      <c r="H338" s="23" t="s">
        <v>226</v>
      </c>
      <c r="I338" s="24" t="s">
        <v>225</v>
      </c>
      <c r="J338" s="23" t="s">
        <v>226</v>
      </c>
      <c r="K338" s="24" t="s">
        <v>226</v>
      </c>
      <c r="L338" s="23"/>
      <c r="M338" s="25">
        <v>43776</v>
      </c>
      <c r="N338" s="24">
        <v>2019</v>
      </c>
    </row>
    <row r="339" spans="1:14">
      <c r="A339" s="24">
        <v>2018</v>
      </c>
      <c r="B339" s="24" t="s">
        <v>136</v>
      </c>
      <c r="C339" s="24" t="s">
        <v>137</v>
      </c>
      <c r="D339" s="24" t="s">
        <v>145</v>
      </c>
      <c r="E339" s="23">
        <v>1</v>
      </c>
      <c r="F339" s="24" t="s">
        <v>211</v>
      </c>
      <c r="G339" s="24" t="s">
        <v>225</v>
      </c>
      <c r="H339" s="23" t="s">
        <v>226</v>
      </c>
      <c r="I339" s="24" t="s">
        <v>225</v>
      </c>
      <c r="J339" s="23" t="s">
        <v>226</v>
      </c>
      <c r="K339" s="24" t="s">
        <v>226</v>
      </c>
      <c r="L339" s="23"/>
      <c r="M339" s="25">
        <v>43801</v>
      </c>
      <c r="N339" s="24">
        <v>2019</v>
      </c>
    </row>
    <row r="340" spans="1:14">
      <c r="A340" s="24">
        <v>2018</v>
      </c>
      <c r="B340" s="24" t="s">
        <v>4</v>
      </c>
      <c r="C340" s="24" t="s">
        <v>5</v>
      </c>
      <c r="D340" s="24" t="s">
        <v>10</v>
      </c>
      <c r="E340" s="23">
        <v>4</v>
      </c>
      <c r="F340" s="24" t="s">
        <v>207</v>
      </c>
      <c r="G340" s="24" t="s">
        <v>225</v>
      </c>
      <c r="H340" s="23" t="s">
        <v>226</v>
      </c>
      <c r="I340" s="24" t="s">
        <v>225</v>
      </c>
      <c r="J340" s="23" t="s">
        <v>226</v>
      </c>
      <c r="K340" s="24" t="s">
        <v>226</v>
      </c>
      <c r="L340" s="23"/>
      <c r="M340" s="25">
        <v>43803</v>
      </c>
      <c r="N340" s="24">
        <v>2019</v>
      </c>
    </row>
    <row r="341" spans="1:14">
      <c r="A341" s="24">
        <v>2018</v>
      </c>
      <c r="B341" s="24" t="s">
        <v>78</v>
      </c>
      <c r="C341" s="24" t="s">
        <v>80</v>
      </c>
      <c r="D341" s="24" t="s">
        <v>367</v>
      </c>
      <c r="E341" s="23">
        <v>4</v>
      </c>
      <c r="F341" s="24" t="s">
        <v>207</v>
      </c>
      <c r="G341" s="24" t="s">
        <v>225</v>
      </c>
      <c r="H341" s="23" t="s">
        <v>226</v>
      </c>
      <c r="I341" s="24" t="s">
        <v>226</v>
      </c>
      <c r="J341" s="23" t="s">
        <v>226</v>
      </c>
      <c r="K341" s="24" t="s">
        <v>225</v>
      </c>
      <c r="L341" s="23"/>
      <c r="M341" s="25">
        <v>43803</v>
      </c>
      <c r="N341" s="24">
        <v>2019</v>
      </c>
    </row>
    <row r="342" spans="1:14">
      <c r="A342" s="24">
        <v>2018</v>
      </c>
      <c r="B342" s="24" t="s">
        <v>78</v>
      </c>
      <c r="C342" s="24" t="s">
        <v>122</v>
      </c>
      <c r="D342" s="24" t="s">
        <v>368</v>
      </c>
      <c r="E342" s="23">
        <v>18</v>
      </c>
      <c r="F342" s="24" t="s">
        <v>207</v>
      </c>
      <c r="G342" s="24" t="s">
        <v>225</v>
      </c>
      <c r="H342" s="23" t="s">
        <v>226</v>
      </c>
      <c r="I342" s="24" t="s">
        <v>226</v>
      </c>
      <c r="J342" s="23" t="s">
        <v>226</v>
      </c>
      <c r="K342" s="24" t="s">
        <v>226</v>
      </c>
      <c r="L342" s="23"/>
      <c r="M342" s="25">
        <v>43803</v>
      </c>
      <c r="N342" s="24">
        <v>2019</v>
      </c>
    </row>
    <row r="343" spans="1:14">
      <c r="A343" s="24">
        <v>2018</v>
      </c>
      <c r="B343" s="24" t="s">
        <v>4</v>
      </c>
      <c r="C343" s="24" t="s">
        <v>31</v>
      </c>
      <c r="D343" s="24" t="s">
        <v>33</v>
      </c>
      <c r="E343" s="23">
        <v>1</v>
      </c>
      <c r="F343" s="24" t="s">
        <v>207</v>
      </c>
      <c r="G343" s="24" t="s">
        <v>225</v>
      </c>
      <c r="H343" s="23" t="s">
        <v>226</v>
      </c>
      <c r="I343" s="24" t="s">
        <v>225</v>
      </c>
      <c r="J343" s="23" t="s">
        <v>226</v>
      </c>
      <c r="K343" s="24" t="s">
        <v>226</v>
      </c>
      <c r="L343" s="23"/>
      <c r="M343" s="25">
        <v>43806</v>
      </c>
      <c r="N343" s="24">
        <v>2019</v>
      </c>
    </row>
    <row r="344" spans="1:14">
      <c r="A344" s="24">
        <v>2018</v>
      </c>
      <c r="B344" s="24" t="s">
        <v>78</v>
      </c>
      <c r="C344" s="24" t="s">
        <v>80</v>
      </c>
      <c r="D344" s="24" t="s">
        <v>83</v>
      </c>
      <c r="E344" s="23">
        <v>1</v>
      </c>
      <c r="F344" s="24" t="s">
        <v>207</v>
      </c>
      <c r="G344" s="24" t="s">
        <v>225</v>
      </c>
      <c r="H344" s="23" t="s">
        <v>226</v>
      </c>
      <c r="I344" s="24" t="s">
        <v>226</v>
      </c>
      <c r="J344" s="23" t="s">
        <v>226</v>
      </c>
      <c r="K344" s="24" t="s">
        <v>226</v>
      </c>
      <c r="L344" s="23"/>
      <c r="M344" s="25">
        <v>43806</v>
      </c>
      <c r="N344" s="24">
        <v>2019</v>
      </c>
    </row>
    <row r="345" spans="1:14">
      <c r="A345" s="24">
        <v>2018</v>
      </c>
      <c r="B345" s="24" t="s">
        <v>78</v>
      </c>
      <c r="C345" s="24" t="s">
        <v>681</v>
      </c>
      <c r="D345" s="24" t="s">
        <v>250</v>
      </c>
      <c r="E345" s="23">
        <v>4</v>
      </c>
      <c r="F345" s="24" t="s">
        <v>211</v>
      </c>
      <c r="G345" s="24" t="s">
        <v>225</v>
      </c>
      <c r="H345" s="23" t="s">
        <v>226</v>
      </c>
      <c r="I345" s="24" t="s">
        <v>226</v>
      </c>
      <c r="J345" s="23" t="s">
        <v>226</v>
      </c>
      <c r="K345" s="24" t="s">
        <v>226</v>
      </c>
      <c r="L345" s="23"/>
      <c r="M345" s="25">
        <v>43806</v>
      </c>
      <c r="N345" s="24">
        <v>2019</v>
      </c>
    </row>
    <row r="346" spans="1:14">
      <c r="A346" s="24">
        <v>2018</v>
      </c>
      <c r="B346" s="24" t="s">
        <v>136</v>
      </c>
      <c r="C346" s="24" t="s">
        <v>137</v>
      </c>
      <c r="D346" s="24" t="s">
        <v>138</v>
      </c>
      <c r="E346" s="23">
        <v>6</v>
      </c>
      <c r="F346" s="24" t="s">
        <v>207</v>
      </c>
      <c r="G346" s="24" t="s">
        <v>225</v>
      </c>
      <c r="H346" s="23" t="s">
        <v>226</v>
      </c>
      <c r="I346" s="24" t="s">
        <v>225</v>
      </c>
      <c r="J346" s="23" t="s">
        <v>226</v>
      </c>
      <c r="K346" s="24" t="s">
        <v>226</v>
      </c>
      <c r="L346" s="23"/>
      <c r="M346" s="25">
        <v>43808</v>
      </c>
      <c r="N346" s="24">
        <v>2019</v>
      </c>
    </row>
    <row r="347" spans="1:14">
      <c r="A347" s="24">
        <v>2018</v>
      </c>
      <c r="B347" s="24" t="s">
        <v>4</v>
      </c>
      <c r="C347" s="24" t="s">
        <v>5</v>
      </c>
      <c r="D347" s="24" t="s">
        <v>7</v>
      </c>
      <c r="E347" s="23">
        <v>104</v>
      </c>
      <c r="F347" s="24" t="s">
        <v>207</v>
      </c>
      <c r="G347" s="24" t="s">
        <v>225</v>
      </c>
      <c r="H347" s="23" t="s">
        <v>226</v>
      </c>
      <c r="I347" s="24" t="s">
        <v>226</v>
      </c>
      <c r="J347" s="23" t="s">
        <v>226</v>
      </c>
      <c r="K347" s="24" t="s">
        <v>226</v>
      </c>
      <c r="L347" s="23"/>
      <c r="M347" s="25">
        <v>43808</v>
      </c>
      <c r="N347" s="24">
        <v>2019</v>
      </c>
    </row>
    <row r="348" spans="1:14">
      <c r="A348" s="24">
        <v>2018</v>
      </c>
      <c r="B348" s="24" t="s">
        <v>136</v>
      </c>
      <c r="C348" s="24" t="s">
        <v>176</v>
      </c>
      <c r="D348" s="24" t="s">
        <v>181</v>
      </c>
      <c r="E348" s="23">
        <v>1</v>
      </c>
      <c r="F348" s="24" t="s">
        <v>211</v>
      </c>
      <c r="G348" s="24" t="s">
        <v>225</v>
      </c>
      <c r="H348" s="23" t="s">
        <v>226</v>
      </c>
      <c r="I348" s="24" t="s">
        <v>225</v>
      </c>
      <c r="J348" s="23" t="s">
        <v>226</v>
      </c>
      <c r="K348" s="24" t="s">
        <v>226</v>
      </c>
      <c r="L348" s="23"/>
      <c r="M348" s="25">
        <v>43808</v>
      </c>
      <c r="N348" s="24">
        <v>2019</v>
      </c>
    </row>
    <row r="349" spans="1:14">
      <c r="A349" s="24">
        <v>2019</v>
      </c>
      <c r="B349" s="24" t="s">
        <v>136</v>
      </c>
      <c r="C349" s="24" t="s">
        <v>189</v>
      </c>
      <c r="D349" s="24" t="s">
        <v>298</v>
      </c>
      <c r="E349" s="23">
        <v>3</v>
      </c>
      <c r="F349" s="24" t="s">
        <v>211</v>
      </c>
      <c r="G349" s="24" t="s">
        <v>225</v>
      </c>
      <c r="H349" s="23" t="s">
        <v>226</v>
      </c>
      <c r="I349" s="24" t="s">
        <v>225</v>
      </c>
      <c r="J349" s="23" t="s">
        <v>226</v>
      </c>
      <c r="K349" s="24" t="s">
        <v>226</v>
      </c>
      <c r="L349" s="23"/>
      <c r="M349" s="25">
        <v>43508</v>
      </c>
      <c r="N349" s="24">
        <v>2019</v>
      </c>
    </row>
    <row r="350" spans="1:14">
      <c r="A350" s="24">
        <v>2019</v>
      </c>
      <c r="B350" s="24" t="s">
        <v>136</v>
      </c>
      <c r="C350" s="24" t="s">
        <v>137</v>
      </c>
      <c r="D350" s="24" t="s">
        <v>143</v>
      </c>
      <c r="E350" s="23">
        <v>4</v>
      </c>
      <c r="F350" s="24" t="s">
        <v>207</v>
      </c>
      <c r="G350" s="24" t="s">
        <v>225</v>
      </c>
      <c r="H350" s="23" t="s">
        <v>226</v>
      </c>
      <c r="I350" s="24" t="s">
        <v>226</v>
      </c>
      <c r="J350" s="23" t="s">
        <v>226</v>
      </c>
      <c r="K350" s="24" t="s">
        <v>226</v>
      </c>
      <c r="L350" s="23"/>
      <c r="M350" s="25">
        <v>43508</v>
      </c>
      <c r="N350" s="24">
        <v>2019</v>
      </c>
    </row>
    <row r="351" spans="1:14">
      <c r="A351" s="24">
        <v>2019</v>
      </c>
      <c r="B351" s="24" t="s">
        <v>136</v>
      </c>
      <c r="C351" s="24" t="s">
        <v>189</v>
      </c>
      <c r="D351" s="24" t="s">
        <v>259</v>
      </c>
      <c r="E351" s="23">
        <v>9</v>
      </c>
      <c r="F351" s="24" t="s">
        <v>211</v>
      </c>
      <c r="G351" s="24" t="s">
        <v>225</v>
      </c>
      <c r="H351" s="23" t="s">
        <v>226</v>
      </c>
      <c r="I351" s="24" t="s">
        <v>226</v>
      </c>
      <c r="J351" s="23" t="s">
        <v>226</v>
      </c>
      <c r="K351" s="24" t="s">
        <v>226</v>
      </c>
      <c r="L351" s="23"/>
      <c r="M351" s="25">
        <v>43508</v>
      </c>
      <c r="N351" s="24">
        <v>2019</v>
      </c>
    </row>
    <row r="352" spans="1:14">
      <c r="A352" s="24">
        <v>2019</v>
      </c>
      <c r="B352" s="24" t="s">
        <v>78</v>
      </c>
      <c r="C352" s="24" t="s">
        <v>88</v>
      </c>
      <c r="D352" s="24" t="s">
        <v>91</v>
      </c>
      <c r="E352" s="23">
        <v>4</v>
      </c>
      <c r="F352" s="24" t="s">
        <v>211</v>
      </c>
      <c r="G352" s="24" t="s">
        <v>225</v>
      </c>
      <c r="H352" s="23" t="s">
        <v>226</v>
      </c>
      <c r="I352" s="24" t="s">
        <v>226</v>
      </c>
      <c r="J352" s="23" t="s">
        <v>226</v>
      </c>
      <c r="K352" s="24" t="s">
        <v>226</v>
      </c>
      <c r="L352" s="23"/>
      <c r="M352" s="25">
        <v>43534</v>
      </c>
      <c r="N352" s="24">
        <v>2019</v>
      </c>
    </row>
    <row r="353" spans="1:14">
      <c r="A353" s="24">
        <v>2019</v>
      </c>
      <c r="B353" s="24" t="s">
        <v>136</v>
      </c>
      <c r="C353" s="24" t="s">
        <v>160</v>
      </c>
      <c r="D353" s="24" t="s">
        <v>306</v>
      </c>
      <c r="E353" s="23">
        <v>2</v>
      </c>
      <c r="F353" s="24" t="s">
        <v>211</v>
      </c>
      <c r="G353" s="24" t="s">
        <v>225</v>
      </c>
      <c r="H353" s="23" t="s">
        <v>226</v>
      </c>
      <c r="I353" s="24" t="s">
        <v>225</v>
      </c>
      <c r="J353" s="23" t="s">
        <v>226</v>
      </c>
      <c r="K353" s="24" t="s">
        <v>226</v>
      </c>
      <c r="L353" s="23"/>
      <c r="M353" s="25">
        <v>43536</v>
      </c>
      <c r="N353" s="24">
        <v>2019</v>
      </c>
    </row>
    <row r="354" spans="1:14">
      <c r="A354" s="24">
        <v>2019</v>
      </c>
      <c r="B354" s="24" t="s">
        <v>78</v>
      </c>
      <c r="C354" s="24" t="s">
        <v>95</v>
      </c>
      <c r="D354" s="24" t="s">
        <v>98</v>
      </c>
      <c r="E354" s="23">
        <v>3</v>
      </c>
      <c r="F354" s="24" t="s">
        <v>207</v>
      </c>
      <c r="G354" s="24" t="s">
        <v>225</v>
      </c>
      <c r="H354" s="23" t="s">
        <v>226</v>
      </c>
      <c r="I354" s="24" t="s">
        <v>225</v>
      </c>
      <c r="J354" s="23" t="s">
        <v>226</v>
      </c>
      <c r="K354" s="24" t="s">
        <v>226</v>
      </c>
      <c r="L354" s="23"/>
      <c r="M354" s="25">
        <v>43565</v>
      </c>
      <c r="N354" s="24">
        <v>2019</v>
      </c>
    </row>
    <row r="355" spans="1:14">
      <c r="A355" s="24">
        <v>2019</v>
      </c>
      <c r="B355" s="24" t="s">
        <v>4</v>
      </c>
      <c r="C355" s="24" t="s">
        <v>5</v>
      </c>
      <c r="D355" s="24" t="s">
        <v>6</v>
      </c>
      <c r="E355" s="23">
        <v>2</v>
      </c>
      <c r="F355" s="24" t="s">
        <v>207</v>
      </c>
      <c r="G355" s="24" t="s">
        <v>225</v>
      </c>
      <c r="H355" s="23" t="s">
        <v>226</v>
      </c>
      <c r="I355" s="24" t="s">
        <v>226</v>
      </c>
      <c r="J355" s="23" t="s">
        <v>226</v>
      </c>
      <c r="K355" s="24" t="s">
        <v>226</v>
      </c>
      <c r="L355" s="23"/>
      <c r="M355" s="25">
        <v>43565</v>
      </c>
      <c r="N355" s="24">
        <v>2019</v>
      </c>
    </row>
    <row r="356" spans="1:14">
      <c r="A356" s="24">
        <v>2019</v>
      </c>
      <c r="B356" s="24" t="s">
        <v>136</v>
      </c>
      <c r="C356" s="24" t="s">
        <v>682</v>
      </c>
      <c r="D356" s="24" t="s">
        <v>167</v>
      </c>
      <c r="E356" s="23">
        <v>1</v>
      </c>
      <c r="F356" s="24" t="s">
        <v>211</v>
      </c>
      <c r="G356" s="23" t="s">
        <v>226</v>
      </c>
      <c r="H356" s="23" t="s">
        <v>226</v>
      </c>
      <c r="I356" s="24" t="s">
        <v>225</v>
      </c>
      <c r="J356" s="23" t="s">
        <v>226</v>
      </c>
      <c r="K356" s="24" t="s">
        <v>225</v>
      </c>
      <c r="L356" s="23"/>
      <c r="M356" s="25">
        <v>43565</v>
      </c>
      <c r="N356" s="24">
        <v>2019</v>
      </c>
    </row>
    <row r="357" spans="1:14">
      <c r="A357" s="24">
        <v>2019</v>
      </c>
      <c r="B357" s="24" t="s">
        <v>4</v>
      </c>
      <c r="C357" s="24" t="s">
        <v>5</v>
      </c>
      <c r="D357" s="24" t="s">
        <v>10</v>
      </c>
      <c r="E357" s="23">
        <v>8</v>
      </c>
      <c r="F357" s="24" t="s">
        <v>207</v>
      </c>
      <c r="G357" s="24" t="s">
        <v>225</v>
      </c>
      <c r="H357" s="23" t="s">
        <v>226</v>
      </c>
      <c r="I357" s="24" t="s">
        <v>226</v>
      </c>
      <c r="J357" s="23" t="s">
        <v>226</v>
      </c>
      <c r="K357" s="24" t="s">
        <v>226</v>
      </c>
      <c r="L357" s="23"/>
      <c r="M357" s="25">
        <v>43566</v>
      </c>
      <c r="N357" s="24">
        <v>2019</v>
      </c>
    </row>
    <row r="358" spans="1:14">
      <c r="A358" s="24">
        <v>2019</v>
      </c>
      <c r="B358" s="24" t="s">
        <v>4</v>
      </c>
      <c r="C358" s="24" t="s">
        <v>5</v>
      </c>
      <c r="D358" s="24" t="s">
        <v>9</v>
      </c>
      <c r="E358" s="23"/>
      <c r="F358" s="24" t="s">
        <v>211</v>
      </c>
      <c r="G358" s="24" t="s">
        <v>225</v>
      </c>
      <c r="H358" s="23" t="s">
        <v>225</v>
      </c>
      <c r="I358" s="24" t="s">
        <v>225</v>
      </c>
      <c r="J358" s="23" t="s">
        <v>226</v>
      </c>
      <c r="K358" s="24" t="s">
        <v>226</v>
      </c>
      <c r="L358" s="23"/>
      <c r="M358" s="25">
        <v>43566</v>
      </c>
      <c r="N358" s="24">
        <v>2019</v>
      </c>
    </row>
    <row r="359" spans="1:14">
      <c r="A359" s="24">
        <v>2019</v>
      </c>
      <c r="B359" s="24" t="s">
        <v>78</v>
      </c>
      <c r="C359" s="24" t="s">
        <v>683</v>
      </c>
      <c r="D359" s="24" t="s">
        <v>369</v>
      </c>
      <c r="E359" s="23">
        <v>1</v>
      </c>
      <c r="F359" s="24" t="s">
        <v>207</v>
      </c>
      <c r="G359" s="24" t="s">
        <v>225</v>
      </c>
      <c r="H359" s="23" t="s">
        <v>226</v>
      </c>
      <c r="I359" s="24" t="s">
        <v>226</v>
      </c>
      <c r="J359" s="23" t="s">
        <v>226</v>
      </c>
      <c r="K359" s="24" t="s">
        <v>226</v>
      </c>
      <c r="L359" s="23"/>
      <c r="M359" s="25">
        <v>43596</v>
      </c>
      <c r="N359" s="24">
        <v>2019</v>
      </c>
    </row>
    <row r="360" spans="1:14">
      <c r="A360" s="24">
        <v>2019</v>
      </c>
      <c r="B360" s="24" t="s">
        <v>78</v>
      </c>
      <c r="C360" s="24" t="s">
        <v>681</v>
      </c>
      <c r="D360" s="24" t="s">
        <v>198</v>
      </c>
      <c r="E360" s="23"/>
      <c r="F360" s="24" t="s">
        <v>207</v>
      </c>
      <c r="G360" s="24" t="s">
        <v>225</v>
      </c>
      <c r="H360" s="23" t="s">
        <v>225</v>
      </c>
      <c r="I360" s="24" t="s">
        <v>225</v>
      </c>
      <c r="J360" s="23" t="s">
        <v>226</v>
      </c>
      <c r="K360" s="24" t="s">
        <v>226</v>
      </c>
      <c r="L360" s="23"/>
      <c r="M360" s="25">
        <v>43597</v>
      </c>
      <c r="N360" s="24">
        <v>2019</v>
      </c>
    </row>
    <row r="361" spans="1:14">
      <c r="A361" s="24">
        <v>2019</v>
      </c>
      <c r="B361" s="24" t="s">
        <v>78</v>
      </c>
      <c r="C361" s="24" t="s">
        <v>79</v>
      </c>
      <c r="D361" s="24" t="s">
        <v>370</v>
      </c>
      <c r="E361" s="23">
        <v>8</v>
      </c>
      <c r="F361" s="24" t="s">
        <v>211</v>
      </c>
      <c r="G361" s="24" t="s">
        <v>225</v>
      </c>
      <c r="H361" s="23" t="s">
        <v>226</v>
      </c>
      <c r="I361" s="24" t="s">
        <v>226</v>
      </c>
      <c r="J361" s="23" t="s">
        <v>226</v>
      </c>
      <c r="K361" s="24" t="s">
        <v>226</v>
      </c>
      <c r="L361" s="23"/>
      <c r="M361" s="25">
        <v>43597</v>
      </c>
      <c r="N361" s="24">
        <v>2019</v>
      </c>
    </row>
    <row r="362" spans="1:14">
      <c r="A362" s="24">
        <v>2019</v>
      </c>
      <c r="B362" s="24" t="s">
        <v>4</v>
      </c>
      <c r="C362" s="24" t="s">
        <v>5</v>
      </c>
      <c r="D362" s="24" t="s">
        <v>10</v>
      </c>
      <c r="E362" s="23">
        <v>8</v>
      </c>
      <c r="F362" s="24" t="s">
        <v>207</v>
      </c>
      <c r="G362" s="24" t="s">
        <v>225</v>
      </c>
      <c r="H362" s="23" t="s">
        <v>226</v>
      </c>
      <c r="I362" s="24" t="s">
        <v>225</v>
      </c>
      <c r="J362" s="23" t="s">
        <v>226</v>
      </c>
      <c r="K362" s="24" t="s">
        <v>226</v>
      </c>
      <c r="L362" s="23"/>
      <c r="M362" s="25">
        <v>43627</v>
      </c>
      <c r="N362" s="24">
        <v>2019</v>
      </c>
    </row>
    <row r="363" spans="1:14">
      <c r="A363" s="24">
        <v>2019</v>
      </c>
      <c r="B363" s="24" t="s">
        <v>4</v>
      </c>
      <c r="C363" s="24" t="s">
        <v>23</v>
      </c>
      <c r="D363" s="24" t="s">
        <v>25</v>
      </c>
      <c r="E363" s="23">
        <v>29</v>
      </c>
      <c r="F363" s="24" t="s">
        <v>207</v>
      </c>
      <c r="G363" s="24" t="s">
        <v>225</v>
      </c>
      <c r="H363" s="23" t="s">
        <v>226</v>
      </c>
      <c r="I363" s="24" t="s">
        <v>226</v>
      </c>
      <c r="J363" s="23" t="s">
        <v>226</v>
      </c>
      <c r="K363" s="24" t="s">
        <v>226</v>
      </c>
      <c r="L363" s="23"/>
      <c r="M363" s="25">
        <v>43627</v>
      </c>
      <c r="N363" s="24">
        <v>2019</v>
      </c>
    </row>
    <row r="364" spans="1:14">
      <c r="A364" s="24">
        <v>2019</v>
      </c>
      <c r="B364" s="24" t="s">
        <v>78</v>
      </c>
      <c r="C364" s="24" t="s">
        <v>103</v>
      </c>
      <c r="D364" s="24" t="s">
        <v>371</v>
      </c>
      <c r="E364" s="23">
        <v>1</v>
      </c>
      <c r="F364" s="24" t="s">
        <v>207</v>
      </c>
      <c r="G364" s="24" t="s">
        <v>225</v>
      </c>
      <c r="H364" s="23" t="s">
        <v>225</v>
      </c>
      <c r="I364" s="24" t="s">
        <v>226</v>
      </c>
      <c r="J364" s="23" t="s">
        <v>226</v>
      </c>
      <c r="K364" s="24" t="s">
        <v>226</v>
      </c>
      <c r="L364" s="23"/>
      <c r="M364" s="25">
        <v>43656</v>
      </c>
      <c r="N364" s="24">
        <v>2019</v>
      </c>
    </row>
    <row r="365" spans="1:14">
      <c r="A365" s="24">
        <v>2019</v>
      </c>
      <c r="B365" s="24" t="s">
        <v>136</v>
      </c>
      <c r="C365" s="24" t="s">
        <v>146</v>
      </c>
      <c r="D365" s="24" t="s">
        <v>256</v>
      </c>
      <c r="E365" s="23">
        <v>1</v>
      </c>
      <c r="F365" s="24" t="s">
        <v>207</v>
      </c>
      <c r="G365" s="24" t="s">
        <v>225</v>
      </c>
      <c r="H365" s="23" t="s">
        <v>226</v>
      </c>
      <c r="I365" s="24" t="s">
        <v>225</v>
      </c>
      <c r="J365" s="23" t="s">
        <v>226</v>
      </c>
      <c r="K365" s="24" t="s">
        <v>226</v>
      </c>
      <c r="L365" s="23"/>
      <c r="M365" s="25">
        <v>43657</v>
      </c>
      <c r="N365" s="24">
        <v>2019</v>
      </c>
    </row>
    <row r="366" spans="1:14">
      <c r="A366" s="24">
        <v>2019</v>
      </c>
      <c r="B366" s="24" t="s">
        <v>136</v>
      </c>
      <c r="C366" s="24" t="s">
        <v>160</v>
      </c>
      <c r="D366" s="24" t="s">
        <v>166</v>
      </c>
      <c r="E366" s="23">
        <v>11</v>
      </c>
      <c r="F366" s="24" t="s">
        <v>207</v>
      </c>
      <c r="G366" s="24" t="s">
        <v>225</v>
      </c>
      <c r="H366" s="23" t="s">
        <v>226</v>
      </c>
      <c r="I366" s="24" t="s">
        <v>226</v>
      </c>
      <c r="J366" s="23" t="s">
        <v>226</v>
      </c>
      <c r="K366" s="24" t="s">
        <v>226</v>
      </c>
      <c r="L366" s="23"/>
      <c r="M366" s="25">
        <v>43657</v>
      </c>
      <c r="N366" s="24">
        <v>2019</v>
      </c>
    </row>
    <row r="367" spans="1:14">
      <c r="A367" s="24">
        <v>2019</v>
      </c>
      <c r="B367" s="24" t="s">
        <v>136</v>
      </c>
      <c r="C367" s="24" t="s">
        <v>137</v>
      </c>
      <c r="D367" s="24" t="s">
        <v>140</v>
      </c>
      <c r="E367" s="23">
        <v>5</v>
      </c>
      <c r="F367" s="24" t="s">
        <v>207</v>
      </c>
      <c r="G367" s="24" t="s">
        <v>225</v>
      </c>
      <c r="H367" s="23" t="s">
        <v>226</v>
      </c>
      <c r="I367" s="24" t="s">
        <v>226</v>
      </c>
      <c r="J367" s="23" t="s">
        <v>226</v>
      </c>
      <c r="K367" s="24" t="s">
        <v>226</v>
      </c>
      <c r="L367" s="23"/>
      <c r="M367" s="25">
        <v>43687</v>
      </c>
      <c r="N367" s="24">
        <v>2019</v>
      </c>
    </row>
    <row r="368" spans="1:14">
      <c r="A368" s="24">
        <v>2019</v>
      </c>
      <c r="B368" s="24" t="s">
        <v>4</v>
      </c>
      <c r="C368" s="24" t="s">
        <v>23</v>
      </c>
      <c r="D368" s="24" t="s">
        <v>27</v>
      </c>
      <c r="E368" s="23">
        <v>4</v>
      </c>
      <c r="F368" s="24" t="s">
        <v>207</v>
      </c>
      <c r="G368" s="24" t="s">
        <v>225</v>
      </c>
      <c r="H368" s="23" t="s">
        <v>226</v>
      </c>
      <c r="I368" s="24" t="s">
        <v>225</v>
      </c>
      <c r="J368" s="23" t="s">
        <v>226</v>
      </c>
      <c r="K368" s="24" t="s">
        <v>225</v>
      </c>
      <c r="L368" s="23"/>
      <c r="M368" s="25">
        <v>43687</v>
      </c>
      <c r="N368" s="24">
        <v>2019</v>
      </c>
    </row>
    <row r="369" spans="1:14">
      <c r="A369" s="24">
        <v>2019</v>
      </c>
      <c r="B369" s="24" t="s">
        <v>136</v>
      </c>
      <c r="C369" s="24" t="s">
        <v>176</v>
      </c>
      <c r="D369" s="24" t="s">
        <v>184</v>
      </c>
      <c r="E369" s="23">
        <v>3</v>
      </c>
      <c r="F369" s="24" t="s">
        <v>211</v>
      </c>
      <c r="G369" s="24" t="s">
        <v>225</v>
      </c>
      <c r="H369" s="23" t="s">
        <v>226</v>
      </c>
      <c r="I369" s="24" t="s">
        <v>226</v>
      </c>
      <c r="J369" s="23" t="s">
        <v>226</v>
      </c>
      <c r="K369" s="24" t="s">
        <v>226</v>
      </c>
      <c r="L369" s="23"/>
      <c r="M369" s="25">
        <v>43687</v>
      </c>
      <c r="N369" s="24">
        <v>2019</v>
      </c>
    </row>
    <row r="370" spans="1:14">
      <c r="A370" s="24">
        <v>2019</v>
      </c>
      <c r="B370" s="24" t="s">
        <v>4</v>
      </c>
      <c r="C370" s="24" t="s">
        <v>14</v>
      </c>
      <c r="D370" s="24" t="s">
        <v>17</v>
      </c>
      <c r="E370" s="23">
        <v>1</v>
      </c>
      <c r="F370" s="24" t="s">
        <v>207</v>
      </c>
      <c r="G370" s="24" t="s">
        <v>225</v>
      </c>
      <c r="H370" s="23" t="s">
        <v>226</v>
      </c>
      <c r="I370" s="24" t="s">
        <v>225</v>
      </c>
      <c r="J370" s="23" t="s">
        <v>226</v>
      </c>
      <c r="K370" s="24" t="s">
        <v>226</v>
      </c>
      <c r="L370" s="23"/>
      <c r="M370" s="25">
        <v>43688</v>
      </c>
      <c r="N370" s="24">
        <v>2019</v>
      </c>
    </row>
    <row r="371" spans="1:14">
      <c r="A371" s="24">
        <v>2019</v>
      </c>
      <c r="B371" s="24" t="s">
        <v>78</v>
      </c>
      <c r="C371" s="24" t="s">
        <v>122</v>
      </c>
      <c r="D371" s="24" t="s">
        <v>368</v>
      </c>
      <c r="E371" s="23"/>
      <c r="F371" s="24" t="s">
        <v>211</v>
      </c>
      <c r="G371" s="24" t="s">
        <v>225</v>
      </c>
      <c r="H371" s="23" t="s">
        <v>225</v>
      </c>
      <c r="I371" s="24" t="s">
        <v>226</v>
      </c>
      <c r="J371" s="23" t="s">
        <v>226</v>
      </c>
      <c r="K371" s="24" t="s">
        <v>226</v>
      </c>
      <c r="L371" s="23"/>
      <c r="M371" s="25">
        <v>43688</v>
      </c>
      <c r="N371" s="24">
        <v>2019</v>
      </c>
    </row>
    <row r="372" spans="1:14">
      <c r="A372" s="24">
        <v>2019</v>
      </c>
      <c r="B372" s="24" t="s">
        <v>78</v>
      </c>
      <c r="C372" s="24" t="s">
        <v>95</v>
      </c>
      <c r="D372" s="24" t="s">
        <v>99</v>
      </c>
      <c r="E372" s="23"/>
      <c r="F372" s="24" t="s">
        <v>207</v>
      </c>
      <c r="G372" s="24" t="s">
        <v>225</v>
      </c>
      <c r="H372" s="23" t="s">
        <v>225</v>
      </c>
      <c r="I372" s="24" t="s">
        <v>226</v>
      </c>
      <c r="J372" s="23" t="s">
        <v>226</v>
      </c>
      <c r="K372" s="24" t="s">
        <v>226</v>
      </c>
      <c r="L372" s="23"/>
      <c r="M372" s="25">
        <v>43688</v>
      </c>
      <c r="N372" s="24">
        <v>2019</v>
      </c>
    </row>
    <row r="373" spans="1:14">
      <c r="A373" s="24">
        <v>2019</v>
      </c>
      <c r="B373" s="24" t="s">
        <v>78</v>
      </c>
      <c r="C373" s="24" t="s">
        <v>122</v>
      </c>
      <c r="D373" s="24" t="s">
        <v>130</v>
      </c>
      <c r="E373" s="23">
        <v>30</v>
      </c>
      <c r="F373" s="24" t="s">
        <v>207</v>
      </c>
      <c r="G373" s="24" t="s">
        <v>225</v>
      </c>
      <c r="H373" s="23" t="s">
        <v>226</v>
      </c>
      <c r="I373" s="24" t="s">
        <v>226</v>
      </c>
      <c r="J373" s="23" t="s">
        <v>226</v>
      </c>
      <c r="K373" s="24" t="s">
        <v>226</v>
      </c>
      <c r="L373" s="23"/>
      <c r="M373" s="25">
        <v>43688</v>
      </c>
      <c r="N373" s="24">
        <v>2019</v>
      </c>
    </row>
    <row r="374" spans="1:14">
      <c r="A374" s="24">
        <v>2019</v>
      </c>
      <c r="B374" s="24" t="s">
        <v>4</v>
      </c>
      <c r="C374" s="24" t="s">
        <v>23</v>
      </c>
      <c r="D374" s="24" t="s">
        <v>28</v>
      </c>
      <c r="E374" s="23">
        <v>9</v>
      </c>
      <c r="F374" s="24" t="s">
        <v>211</v>
      </c>
      <c r="G374" s="24" t="s">
        <v>225</v>
      </c>
      <c r="H374" s="23" t="s">
        <v>226</v>
      </c>
      <c r="I374" s="24" t="s">
        <v>226</v>
      </c>
      <c r="J374" s="23" t="s">
        <v>226</v>
      </c>
      <c r="K374" s="24" t="s">
        <v>226</v>
      </c>
      <c r="L374" s="23"/>
      <c r="M374" s="25">
        <v>43688</v>
      </c>
      <c r="N374" s="24">
        <v>2019</v>
      </c>
    </row>
    <row r="375" spans="1:14">
      <c r="A375" s="24">
        <v>2019</v>
      </c>
      <c r="B375" s="24" t="s">
        <v>78</v>
      </c>
      <c r="C375" s="24" t="s">
        <v>95</v>
      </c>
      <c r="D375" s="24" t="s">
        <v>100</v>
      </c>
      <c r="E375" s="23">
        <v>5</v>
      </c>
      <c r="F375" s="24" t="s">
        <v>207</v>
      </c>
      <c r="G375" s="24" t="s">
        <v>225</v>
      </c>
      <c r="H375" s="23" t="s">
        <v>226</v>
      </c>
      <c r="I375" s="24" t="s">
        <v>226</v>
      </c>
      <c r="J375" s="23" t="s">
        <v>226</v>
      </c>
      <c r="K375" s="24" t="s">
        <v>226</v>
      </c>
      <c r="L375" s="23"/>
      <c r="M375" s="25">
        <v>43718</v>
      </c>
      <c r="N375" s="24">
        <v>2019</v>
      </c>
    </row>
    <row r="376" spans="1:14">
      <c r="A376" s="24">
        <v>2019</v>
      </c>
      <c r="B376" s="24" t="s">
        <v>78</v>
      </c>
      <c r="C376" s="24" t="s">
        <v>79</v>
      </c>
      <c r="D376" s="24" t="s">
        <v>292</v>
      </c>
      <c r="E376" s="23">
        <v>4</v>
      </c>
      <c r="F376" s="24" t="s">
        <v>211</v>
      </c>
      <c r="G376" s="24" t="s">
        <v>225</v>
      </c>
      <c r="H376" s="23" t="s">
        <v>226</v>
      </c>
      <c r="I376" s="24" t="s">
        <v>225</v>
      </c>
      <c r="J376" s="23" t="s">
        <v>226</v>
      </c>
      <c r="K376" s="24" t="s">
        <v>226</v>
      </c>
      <c r="L376" s="23"/>
      <c r="M376" s="26" t="s">
        <v>372</v>
      </c>
      <c r="N376" s="24">
        <v>2019</v>
      </c>
    </row>
    <row r="377" spans="1:14">
      <c r="A377" s="24">
        <v>2019</v>
      </c>
      <c r="B377" s="24" t="s">
        <v>4</v>
      </c>
      <c r="C377" s="24" t="s">
        <v>5</v>
      </c>
      <c r="D377" s="24" t="s">
        <v>8</v>
      </c>
      <c r="E377" s="23">
        <v>6</v>
      </c>
      <c r="F377" s="24" t="s">
        <v>207</v>
      </c>
      <c r="G377" s="24" t="s">
        <v>225</v>
      </c>
      <c r="H377" s="23" t="s">
        <v>226</v>
      </c>
      <c r="I377" s="24" t="s">
        <v>226</v>
      </c>
      <c r="J377" s="23" t="s">
        <v>226</v>
      </c>
      <c r="K377" s="24" t="s">
        <v>226</v>
      </c>
      <c r="L377" s="23"/>
      <c r="M377" s="26" t="s">
        <v>372</v>
      </c>
      <c r="N377" s="24">
        <v>2019</v>
      </c>
    </row>
    <row r="378" spans="1:14">
      <c r="A378" s="24">
        <v>2019</v>
      </c>
      <c r="B378" s="24" t="s">
        <v>136</v>
      </c>
      <c r="C378" s="24" t="s">
        <v>682</v>
      </c>
      <c r="D378" s="24" t="s">
        <v>167</v>
      </c>
      <c r="E378" s="23">
        <v>7</v>
      </c>
      <c r="F378" s="24" t="s">
        <v>211</v>
      </c>
      <c r="G378" s="23" t="s">
        <v>226</v>
      </c>
      <c r="H378" s="23" t="s">
        <v>226</v>
      </c>
      <c r="I378" s="24" t="s">
        <v>226</v>
      </c>
      <c r="J378" s="23" t="s">
        <v>226</v>
      </c>
      <c r="K378" s="24" t="s">
        <v>226</v>
      </c>
      <c r="L378" s="23"/>
      <c r="M378" s="26" t="s">
        <v>372</v>
      </c>
      <c r="N378" s="24">
        <v>2019</v>
      </c>
    </row>
    <row r="379" spans="1:14">
      <c r="A379" s="24">
        <v>2019</v>
      </c>
      <c r="B379" s="24" t="s">
        <v>4</v>
      </c>
      <c r="C379" s="24" t="s">
        <v>23</v>
      </c>
      <c r="D379" s="24" t="s">
        <v>29</v>
      </c>
      <c r="E379" s="23">
        <v>21</v>
      </c>
      <c r="F379" s="24" t="s">
        <v>211</v>
      </c>
      <c r="G379" s="24" t="s">
        <v>225</v>
      </c>
      <c r="H379" s="23" t="s">
        <v>226</v>
      </c>
      <c r="I379" s="24" t="s">
        <v>226</v>
      </c>
      <c r="J379" s="23" t="s">
        <v>226</v>
      </c>
      <c r="K379" s="24" t="s">
        <v>226</v>
      </c>
      <c r="L379" s="23"/>
      <c r="M379" s="26" t="s">
        <v>372</v>
      </c>
      <c r="N379" s="24">
        <v>2019</v>
      </c>
    </row>
    <row r="380" spans="1:14">
      <c r="A380" s="24">
        <v>2019</v>
      </c>
      <c r="B380" s="24" t="s">
        <v>78</v>
      </c>
      <c r="C380" s="24" t="s">
        <v>103</v>
      </c>
      <c r="D380" s="24" t="s">
        <v>373</v>
      </c>
      <c r="E380" s="23">
        <v>29</v>
      </c>
      <c r="F380" s="24" t="s">
        <v>207</v>
      </c>
      <c r="G380" s="24" t="s">
        <v>225</v>
      </c>
      <c r="H380" s="23" t="s">
        <v>226</v>
      </c>
      <c r="I380" s="24" t="s">
        <v>226</v>
      </c>
      <c r="J380" s="23" t="s">
        <v>226</v>
      </c>
      <c r="K380" s="24" t="s">
        <v>226</v>
      </c>
      <c r="L380" s="23"/>
      <c r="M380" s="26" t="s">
        <v>374</v>
      </c>
      <c r="N380" s="24">
        <v>2019</v>
      </c>
    </row>
    <row r="381" spans="1:14">
      <c r="A381" s="24">
        <v>2019</v>
      </c>
      <c r="B381" s="24" t="s">
        <v>78</v>
      </c>
      <c r="C381" s="24" t="s">
        <v>103</v>
      </c>
      <c r="D381" s="24" t="s">
        <v>106</v>
      </c>
      <c r="E381" s="23"/>
      <c r="F381" s="24" t="s">
        <v>211</v>
      </c>
      <c r="G381" s="24" t="s">
        <v>225</v>
      </c>
      <c r="H381" s="23" t="s">
        <v>225</v>
      </c>
      <c r="I381" s="24" t="s">
        <v>225</v>
      </c>
      <c r="J381" s="23" t="s">
        <v>226</v>
      </c>
      <c r="K381" s="24" t="s">
        <v>226</v>
      </c>
      <c r="L381" s="23"/>
      <c r="M381" s="26" t="s">
        <v>374</v>
      </c>
      <c r="N381" s="24">
        <v>2019</v>
      </c>
    </row>
    <row r="382" spans="1:14">
      <c r="A382" s="24">
        <v>2019</v>
      </c>
      <c r="B382" s="24" t="s">
        <v>78</v>
      </c>
      <c r="C382" s="24" t="s">
        <v>681</v>
      </c>
      <c r="D382" s="24" t="s">
        <v>131</v>
      </c>
      <c r="E382" s="23">
        <v>46</v>
      </c>
      <c r="F382" s="24" t="s">
        <v>207</v>
      </c>
      <c r="G382" s="24" t="s">
        <v>225</v>
      </c>
      <c r="H382" s="23" t="s">
        <v>226</v>
      </c>
      <c r="I382" s="24" t="s">
        <v>225</v>
      </c>
      <c r="J382" s="23" t="s">
        <v>226</v>
      </c>
      <c r="K382" s="24" t="s">
        <v>225</v>
      </c>
      <c r="L382" s="23"/>
      <c r="M382" s="26" t="s">
        <v>374</v>
      </c>
      <c r="N382" s="24">
        <v>2019</v>
      </c>
    </row>
    <row r="383" spans="1:14">
      <c r="A383" s="24">
        <v>2019</v>
      </c>
      <c r="B383" s="24" t="s">
        <v>4</v>
      </c>
      <c r="C383" s="24" t="s">
        <v>23</v>
      </c>
      <c r="D383" s="24" t="s">
        <v>28</v>
      </c>
      <c r="E383" s="23">
        <v>5</v>
      </c>
      <c r="F383" s="24" t="s">
        <v>211</v>
      </c>
      <c r="G383" s="23" t="s">
        <v>226</v>
      </c>
      <c r="H383" s="23" t="s">
        <v>226</v>
      </c>
      <c r="I383" s="24" t="s">
        <v>226</v>
      </c>
      <c r="J383" s="23" t="s">
        <v>226</v>
      </c>
      <c r="K383" s="24" t="s">
        <v>226</v>
      </c>
      <c r="L383" s="23"/>
      <c r="M383" s="26" t="s">
        <v>375</v>
      </c>
      <c r="N383" s="24">
        <v>2019</v>
      </c>
    </row>
    <row r="384" spans="1:14">
      <c r="A384" s="24">
        <v>2019</v>
      </c>
      <c r="B384" s="24" t="s">
        <v>78</v>
      </c>
      <c r="C384" s="24" t="s">
        <v>95</v>
      </c>
      <c r="D384" s="24" t="s">
        <v>376</v>
      </c>
      <c r="E384" s="23">
        <v>30</v>
      </c>
      <c r="F384" s="24" t="s">
        <v>207</v>
      </c>
      <c r="G384" s="24" t="s">
        <v>225</v>
      </c>
      <c r="H384" s="23" t="s">
        <v>226</v>
      </c>
      <c r="I384" s="24" t="s">
        <v>226</v>
      </c>
      <c r="J384" s="23" t="s">
        <v>226</v>
      </c>
      <c r="K384" s="24" t="s">
        <v>226</v>
      </c>
      <c r="L384" s="23"/>
      <c r="M384" s="26" t="s">
        <v>377</v>
      </c>
      <c r="N384" s="24">
        <v>2019</v>
      </c>
    </row>
    <row r="385" spans="1:14">
      <c r="A385" s="24">
        <v>2019</v>
      </c>
      <c r="B385" s="24" t="s">
        <v>136</v>
      </c>
      <c r="C385" s="24" t="s">
        <v>189</v>
      </c>
      <c r="D385" s="24" t="s">
        <v>298</v>
      </c>
      <c r="E385" s="23">
        <v>1</v>
      </c>
      <c r="F385" s="24" t="s">
        <v>211</v>
      </c>
      <c r="G385" s="24" t="s">
        <v>225</v>
      </c>
      <c r="H385" s="23" t="s">
        <v>226</v>
      </c>
      <c r="I385" s="24" t="s">
        <v>226</v>
      </c>
      <c r="J385" s="23" t="s">
        <v>226</v>
      </c>
      <c r="K385" s="24" t="s">
        <v>226</v>
      </c>
      <c r="L385" s="23"/>
      <c r="M385" s="26" t="s">
        <v>377</v>
      </c>
      <c r="N385" s="24">
        <v>2019</v>
      </c>
    </row>
    <row r="386" spans="1:14">
      <c r="A386" s="24">
        <v>2019</v>
      </c>
      <c r="B386" s="24" t="s">
        <v>136</v>
      </c>
      <c r="C386" s="24" t="s">
        <v>137</v>
      </c>
      <c r="D386" s="24" t="s">
        <v>141</v>
      </c>
      <c r="E386" s="23">
        <v>7</v>
      </c>
      <c r="F386" s="24" t="s">
        <v>207</v>
      </c>
      <c r="G386" s="24" t="s">
        <v>225</v>
      </c>
      <c r="H386" s="23" t="s">
        <v>226</v>
      </c>
      <c r="I386" s="24" t="s">
        <v>226</v>
      </c>
      <c r="J386" s="23" t="s">
        <v>226</v>
      </c>
      <c r="K386" s="24" t="s">
        <v>226</v>
      </c>
      <c r="L386" s="23"/>
      <c r="M386" s="26" t="s">
        <v>378</v>
      </c>
      <c r="N386" s="24">
        <v>2019</v>
      </c>
    </row>
    <row r="387" spans="1:14">
      <c r="A387" s="24">
        <v>2019</v>
      </c>
      <c r="B387" s="24" t="s">
        <v>4</v>
      </c>
      <c r="C387" s="24" t="s">
        <v>5</v>
      </c>
      <c r="D387" s="24" t="s">
        <v>13</v>
      </c>
      <c r="E387" s="23">
        <v>7</v>
      </c>
      <c r="F387" s="24" t="s">
        <v>211</v>
      </c>
      <c r="G387" s="24" t="s">
        <v>225</v>
      </c>
      <c r="H387" s="23" t="s">
        <v>226</v>
      </c>
      <c r="I387" s="24" t="s">
        <v>226</v>
      </c>
      <c r="J387" s="23" t="s">
        <v>226</v>
      </c>
      <c r="K387" s="24" t="s">
        <v>226</v>
      </c>
      <c r="L387" s="23"/>
      <c r="M387" s="26" t="s">
        <v>378</v>
      </c>
      <c r="N387" s="24">
        <v>2019</v>
      </c>
    </row>
    <row r="388" spans="1:14">
      <c r="A388" s="24">
        <v>2019</v>
      </c>
      <c r="B388" s="24" t="s">
        <v>4</v>
      </c>
      <c r="C388" s="24" t="s">
        <v>5</v>
      </c>
      <c r="D388" s="24" t="s">
        <v>7</v>
      </c>
      <c r="E388" s="23">
        <v>44</v>
      </c>
      <c r="F388" s="24" t="s">
        <v>207</v>
      </c>
      <c r="G388" s="24" t="s">
        <v>225</v>
      </c>
      <c r="H388" s="23" t="s">
        <v>226</v>
      </c>
      <c r="I388" s="24" t="s">
        <v>226</v>
      </c>
      <c r="J388" s="23" t="s">
        <v>226</v>
      </c>
      <c r="K388" s="24" t="s">
        <v>226</v>
      </c>
      <c r="L388" s="23"/>
      <c r="M388" s="26" t="s">
        <v>379</v>
      </c>
      <c r="N388" s="24">
        <v>2019</v>
      </c>
    </row>
    <row r="389" spans="1:14">
      <c r="A389" s="24">
        <v>2019</v>
      </c>
      <c r="B389" s="24" t="s">
        <v>136</v>
      </c>
      <c r="C389" s="24" t="s">
        <v>137</v>
      </c>
      <c r="D389" s="24" t="s">
        <v>138</v>
      </c>
      <c r="E389" s="23">
        <v>3</v>
      </c>
      <c r="F389" s="24" t="s">
        <v>207</v>
      </c>
      <c r="G389" s="24" t="s">
        <v>225</v>
      </c>
      <c r="H389" s="23" t="s">
        <v>226</v>
      </c>
      <c r="I389" s="24" t="s">
        <v>225</v>
      </c>
      <c r="J389" s="23" t="s">
        <v>226</v>
      </c>
      <c r="K389" s="24" t="s">
        <v>226</v>
      </c>
      <c r="L389" s="23"/>
      <c r="M389" s="26" t="s">
        <v>380</v>
      </c>
      <c r="N389" s="24">
        <v>2019</v>
      </c>
    </row>
    <row r="390" spans="1:14">
      <c r="A390" s="24">
        <v>2019</v>
      </c>
      <c r="B390" s="24" t="s">
        <v>78</v>
      </c>
      <c r="C390" s="24" t="s">
        <v>122</v>
      </c>
      <c r="D390" s="24" t="s">
        <v>368</v>
      </c>
      <c r="E390" s="23">
        <v>6</v>
      </c>
      <c r="F390" s="24" t="s">
        <v>211</v>
      </c>
      <c r="G390" s="24" t="s">
        <v>225</v>
      </c>
      <c r="H390" s="23" t="s">
        <v>226</v>
      </c>
      <c r="I390" s="24" t="s">
        <v>226</v>
      </c>
      <c r="J390" s="23" t="s">
        <v>226</v>
      </c>
      <c r="K390" s="24" t="s">
        <v>226</v>
      </c>
      <c r="L390" s="23"/>
      <c r="M390" s="26" t="s">
        <v>380</v>
      </c>
      <c r="N390" s="24">
        <v>2019</v>
      </c>
    </row>
    <row r="391" spans="1:14">
      <c r="A391" s="24">
        <v>2019</v>
      </c>
      <c r="B391" s="24" t="s">
        <v>136</v>
      </c>
      <c r="C391" s="24" t="s">
        <v>682</v>
      </c>
      <c r="D391" s="24" t="s">
        <v>167</v>
      </c>
      <c r="E391" s="23">
        <v>2</v>
      </c>
      <c r="F391" s="24" t="s">
        <v>211</v>
      </c>
      <c r="G391" s="24" t="s">
        <v>225</v>
      </c>
      <c r="H391" s="23" t="s">
        <v>226</v>
      </c>
      <c r="I391" s="24" t="s">
        <v>226</v>
      </c>
      <c r="J391" s="23" t="s">
        <v>226</v>
      </c>
      <c r="K391" s="24" t="s">
        <v>226</v>
      </c>
      <c r="L391" s="23"/>
      <c r="M391" s="26" t="s">
        <v>380</v>
      </c>
      <c r="N391" s="24">
        <v>2019</v>
      </c>
    </row>
    <row r="392" spans="1:14">
      <c r="A392" s="24">
        <v>2019</v>
      </c>
      <c r="B392" s="24" t="s">
        <v>78</v>
      </c>
      <c r="C392" s="24" t="s">
        <v>122</v>
      </c>
      <c r="D392" s="24" t="s">
        <v>368</v>
      </c>
      <c r="E392" s="23">
        <v>12</v>
      </c>
      <c r="F392" s="24" t="s">
        <v>211</v>
      </c>
      <c r="G392" s="24" t="s">
        <v>225</v>
      </c>
      <c r="H392" s="23" t="s">
        <v>226</v>
      </c>
      <c r="I392" s="24" t="s">
        <v>226</v>
      </c>
      <c r="J392" s="23" t="s">
        <v>226</v>
      </c>
      <c r="K392" s="24" t="s">
        <v>226</v>
      </c>
      <c r="L392" s="23"/>
      <c r="M392" s="26" t="s">
        <v>380</v>
      </c>
      <c r="N392" s="24">
        <v>2019</v>
      </c>
    </row>
    <row r="393" spans="1:14">
      <c r="A393" s="24">
        <v>2019</v>
      </c>
      <c r="B393" s="24" t="s">
        <v>78</v>
      </c>
      <c r="C393" s="24" t="s">
        <v>681</v>
      </c>
      <c r="D393" s="24" t="s">
        <v>278</v>
      </c>
      <c r="E393" s="23">
        <v>1</v>
      </c>
      <c r="F393" s="24" t="s">
        <v>207</v>
      </c>
      <c r="G393" s="24" t="s">
        <v>225</v>
      </c>
      <c r="H393" s="23" t="s">
        <v>226</v>
      </c>
      <c r="I393" s="24" t="s">
        <v>225</v>
      </c>
      <c r="J393" s="23" t="s">
        <v>226</v>
      </c>
      <c r="K393" s="24" t="s">
        <v>226</v>
      </c>
      <c r="L393" s="23"/>
      <c r="M393" s="26" t="s">
        <v>380</v>
      </c>
      <c r="N393" s="24">
        <v>2019</v>
      </c>
    </row>
    <row r="394" spans="1:14">
      <c r="A394" s="24">
        <v>2019</v>
      </c>
      <c r="B394" s="24" t="s">
        <v>4</v>
      </c>
      <c r="C394" s="24" t="s">
        <v>203</v>
      </c>
      <c r="D394" s="24" t="s">
        <v>204</v>
      </c>
      <c r="E394" s="23">
        <v>6</v>
      </c>
      <c r="F394" s="24" t="s">
        <v>211</v>
      </c>
      <c r="G394" s="24" t="s">
        <v>225</v>
      </c>
      <c r="H394" s="23" t="s">
        <v>226</v>
      </c>
      <c r="I394" s="24" t="s">
        <v>226</v>
      </c>
      <c r="J394" s="23" t="s">
        <v>226</v>
      </c>
      <c r="K394" s="24" t="s">
        <v>225</v>
      </c>
      <c r="L394" s="23"/>
      <c r="M394" s="26" t="s">
        <v>380</v>
      </c>
      <c r="N394" s="24">
        <v>2019</v>
      </c>
    </row>
    <row r="395" spans="1:14">
      <c r="A395" s="24">
        <v>2019</v>
      </c>
      <c r="B395" s="24" t="s">
        <v>78</v>
      </c>
      <c r="C395" s="24" t="s">
        <v>122</v>
      </c>
      <c r="D395" s="24" t="s">
        <v>127</v>
      </c>
      <c r="E395" s="23"/>
      <c r="F395" s="24" t="s">
        <v>211</v>
      </c>
      <c r="G395" s="23" t="s">
        <v>226</v>
      </c>
      <c r="H395" s="23" t="s">
        <v>225</v>
      </c>
      <c r="I395" s="24" t="s">
        <v>225</v>
      </c>
      <c r="J395" s="23" t="s">
        <v>226</v>
      </c>
      <c r="K395" s="24" t="s">
        <v>225</v>
      </c>
      <c r="L395" s="23"/>
      <c r="M395" s="26" t="s">
        <v>380</v>
      </c>
      <c r="N395" s="24">
        <v>2019</v>
      </c>
    </row>
    <row r="396" spans="1:14">
      <c r="A396" s="24">
        <v>2019</v>
      </c>
      <c r="B396" s="24" t="s">
        <v>4</v>
      </c>
      <c r="C396" s="24" t="s">
        <v>5</v>
      </c>
      <c r="D396" s="24" t="s">
        <v>10</v>
      </c>
      <c r="E396" s="23">
        <v>11</v>
      </c>
      <c r="F396" s="24" t="s">
        <v>207</v>
      </c>
      <c r="G396" s="24" t="s">
        <v>225</v>
      </c>
      <c r="H396" s="23" t="s">
        <v>226</v>
      </c>
      <c r="I396" s="24" t="s">
        <v>225</v>
      </c>
      <c r="J396" s="23" t="s">
        <v>226</v>
      </c>
      <c r="K396" s="24" t="s">
        <v>226</v>
      </c>
      <c r="L396" s="23"/>
      <c r="M396" s="26" t="s">
        <v>381</v>
      </c>
      <c r="N396" s="24">
        <v>2019</v>
      </c>
    </row>
    <row r="397" spans="1:14">
      <c r="A397" s="24">
        <v>2019</v>
      </c>
      <c r="B397" s="24" t="s">
        <v>136</v>
      </c>
      <c r="C397" s="24" t="s">
        <v>137</v>
      </c>
      <c r="D397" s="24" t="s">
        <v>142</v>
      </c>
      <c r="E397" s="23">
        <v>2</v>
      </c>
      <c r="F397" s="24" t="s">
        <v>207</v>
      </c>
      <c r="G397" s="24" t="s">
        <v>225</v>
      </c>
      <c r="H397" s="23" t="s">
        <v>226</v>
      </c>
      <c r="I397" s="24" t="s">
        <v>225</v>
      </c>
      <c r="J397" s="23" t="s">
        <v>226</v>
      </c>
      <c r="K397" s="24" t="s">
        <v>226</v>
      </c>
      <c r="L397" s="23"/>
      <c r="M397" s="26" t="s">
        <v>382</v>
      </c>
      <c r="N397" s="24">
        <v>2019</v>
      </c>
    </row>
    <row r="398" spans="1:14">
      <c r="A398" s="24">
        <v>2019</v>
      </c>
      <c r="B398" s="24" t="s">
        <v>78</v>
      </c>
      <c r="C398" s="24" t="s">
        <v>79</v>
      </c>
      <c r="D398" s="24" t="s">
        <v>383</v>
      </c>
      <c r="E398" s="23"/>
      <c r="F398" s="24" t="s">
        <v>211</v>
      </c>
      <c r="G398" s="24" t="s">
        <v>225</v>
      </c>
      <c r="H398" s="23" t="s">
        <v>225</v>
      </c>
      <c r="I398" s="24" t="s">
        <v>226</v>
      </c>
      <c r="J398" s="23" t="s">
        <v>226</v>
      </c>
      <c r="K398" s="24" t="s">
        <v>226</v>
      </c>
      <c r="L398" s="23"/>
      <c r="M398" s="26" t="s">
        <v>384</v>
      </c>
      <c r="N398" s="24">
        <v>2019</v>
      </c>
    </row>
    <row r="399" spans="1:14">
      <c r="A399" s="24">
        <v>2019</v>
      </c>
      <c r="B399" s="24" t="s">
        <v>136</v>
      </c>
      <c r="C399" s="24" t="s">
        <v>189</v>
      </c>
      <c r="D399" s="24" t="s">
        <v>195</v>
      </c>
      <c r="E399" s="23">
        <v>3</v>
      </c>
      <c r="F399" s="24" t="s">
        <v>211</v>
      </c>
      <c r="G399" s="24" t="s">
        <v>225</v>
      </c>
      <c r="H399" s="23" t="s">
        <v>226</v>
      </c>
      <c r="I399" s="24" t="s">
        <v>226</v>
      </c>
      <c r="J399" s="23" t="s">
        <v>226</v>
      </c>
      <c r="K399" s="24" t="s">
        <v>225</v>
      </c>
      <c r="L399" s="23"/>
      <c r="M399" s="26" t="s">
        <v>384</v>
      </c>
      <c r="N399" s="24">
        <v>2019</v>
      </c>
    </row>
    <row r="400" spans="1:14">
      <c r="A400" s="24">
        <v>2019</v>
      </c>
      <c r="B400" s="24" t="s">
        <v>136</v>
      </c>
      <c r="C400" s="24" t="s">
        <v>152</v>
      </c>
      <c r="D400" s="24" t="s">
        <v>155</v>
      </c>
      <c r="E400" s="23">
        <v>1</v>
      </c>
      <c r="F400" s="24" t="s">
        <v>211</v>
      </c>
      <c r="G400" s="24" t="s">
        <v>225</v>
      </c>
      <c r="H400" s="23" t="s">
        <v>226</v>
      </c>
      <c r="I400" s="24" t="s">
        <v>225</v>
      </c>
      <c r="J400" s="23" t="s">
        <v>226</v>
      </c>
      <c r="K400" s="24" t="s">
        <v>226</v>
      </c>
      <c r="L400" s="23"/>
      <c r="M400" s="26" t="s">
        <v>384</v>
      </c>
      <c r="N400" s="24">
        <v>2019</v>
      </c>
    </row>
    <row r="401" spans="1:14">
      <c r="A401" s="24">
        <v>2019</v>
      </c>
      <c r="B401" s="24" t="s">
        <v>136</v>
      </c>
      <c r="C401" s="24" t="s">
        <v>146</v>
      </c>
      <c r="D401" s="24" t="s">
        <v>151</v>
      </c>
      <c r="E401" s="23">
        <v>4</v>
      </c>
      <c r="F401" s="24" t="s">
        <v>207</v>
      </c>
      <c r="G401" s="24" t="s">
        <v>225</v>
      </c>
      <c r="H401" s="23" t="s">
        <v>226</v>
      </c>
      <c r="I401" s="24" t="s">
        <v>225</v>
      </c>
      <c r="J401" s="23" t="s">
        <v>226</v>
      </c>
      <c r="K401" s="24" t="s">
        <v>226</v>
      </c>
      <c r="L401" s="23"/>
      <c r="M401" s="26" t="s">
        <v>385</v>
      </c>
      <c r="N401" s="24">
        <v>2019</v>
      </c>
    </row>
    <row r="402" spans="1:14">
      <c r="A402" s="24">
        <v>2019</v>
      </c>
      <c r="B402" s="24" t="s">
        <v>78</v>
      </c>
      <c r="C402" s="24" t="s">
        <v>683</v>
      </c>
      <c r="D402" s="24" t="s">
        <v>117</v>
      </c>
      <c r="E402" s="23">
        <v>7</v>
      </c>
      <c r="F402" s="24" t="s">
        <v>207</v>
      </c>
      <c r="G402" s="24" t="s">
        <v>225</v>
      </c>
      <c r="H402" s="23" t="s">
        <v>226</v>
      </c>
      <c r="I402" s="24" t="s">
        <v>226</v>
      </c>
      <c r="J402" s="23" t="s">
        <v>226</v>
      </c>
      <c r="K402" s="24" t="s">
        <v>226</v>
      </c>
      <c r="L402" s="23"/>
      <c r="M402" s="26" t="s">
        <v>386</v>
      </c>
      <c r="N402" s="24">
        <v>2019</v>
      </c>
    </row>
    <row r="403" spans="1:14">
      <c r="A403" s="24">
        <v>2019</v>
      </c>
      <c r="B403" s="24" t="s">
        <v>4</v>
      </c>
      <c r="C403" s="24" t="s">
        <v>203</v>
      </c>
      <c r="D403" s="24" t="s">
        <v>204</v>
      </c>
      <c r="E403" s="23">
        <v>15</v>
      </c>
      <c r="F403" s="24" t="s">
        <v>211</v>
      </c>
      <c r="G403" s="24" t="s">
        <v>225</v>
      </c>
      <c r="H403" s="23" t="s">
        <v>226</v>
      </c>
      <c r="I403" s="24" t="s">
        <v>226</v>
      </c>
      <c r="J403" s="23" t="s">
        <v>226</v>
      </c>
      <c r="K403" s="24" t="s">
        <v>226</v>
      </c>
      <c r="L403" s="23"/>
      <c r="M403" s="25">
        <v>43762</v>
      </c>
      <c r="N403" s="24">
        <v>2019</v>
      </c>
    </row>
    <row r="404" spans="1:14">
      <c r="A404" s="24">
        <v>2019</v>
      </c>
      <c r="B404" s="24" t="s">
        <v>78</v>
      </c>
      <c r="C404" s="24" t="s">
        <v>95</v>
      </c>
      <c r="D404" s="24" t="s">
        <v>96</v>
      </c>
      <c r="E404" s="23">
        <v>24</v>
      </c>
      <c r="F404" s="24" t="s">
        <v>207</v>
      </c>
      <c r="G404" s="24" t="s">
        <v>225</v>
      </c>
      <c r="H404" s="23" t="s">
        <v>226</v>
      </c>
      <c r="I404" s="24" t="s">
        <v>226</v>
      </c>
      <c r="J404" s="23" t="s">
        <v>226</v>
      </c>
      <c r="K404" s="24" t="s">
        <v>226</v>
      </c>
      <c r="L404" s="23"/>
      <c r="M404" s="26" t="s">
        <v>387</v>
      </c>
      <c r="N404" s="24">
        <v>2019</v>
      </c>
    </row>
    <row r="405" spans="1:14">
      <c r="A405" s="24">
        <v>2019</v>
      </c>
      <c r="B405" s="24" t="s">
        <v>4</v>
      </c>
      <c r="C405" s="24" t="s">
        <v>5</v>
      </c>
      <c r="D405" s="24" t="s">
        <v>9</v>
      </c>
      <c r="E405" s="23">
        <v>9</v>
      </c>
      <c r="F405" s="24" t="s">
        <v>211</v>
      </c>
      <c r="G405" s="24" t="s">
        <v>225</v>
      </c>
      <c r="H405" s="23" t="s">
        <v>226</v>
      </c>
      <c r="I405" s="24" t="s">
        <v>226</v>
      </c>
      <c r="J405" s="23" t="s">
        <v>226</v>
      </c>
      <c r="K405" s="24" t="s">
        <v>226</v>
      </c>
      <c r="L405" s="23"/>
      <c r="M405" s="26" t="s">
        <v>387</v>
      </c>
      <c r="N405" s="24">
        <v>2019</v>
      </c>
    </row>
    <row r="406" spans="1:14">
      <c r="A406" s="24">
        <v>2019</v>
      </c>
      <c r="B406" s="24" t="s">
        <v>136</v>
      </c>
      <c r="C406" s="24" t="s">
        <v>684</v>
      </c>
      <c r="D406" s="24" t="s">
        <v>388</v>
      </c>
      <c r="E406" s="23"/>
      <c r="F406" s="24" t="s">
        <v>211</v>
      </c>
      <c r="G406" s="24" t="s">
        <v>225</v>
      </c>
      <c r="H406" s="23" t="s">
        <v>225</v>
      </c>
      <c r="I406" s="24" t="s">
        <v>225</v>
      </c>
      <c r="J406" s="23" t="s">
        <v>226</v>
      </c>
      <c r="K406" s="24" t="s">
        <v>225</v>
      </c>
      <c r="L406" s="23"/>
      <c r="M406" s="26" t="s">
        <v>387</v>
      </c>
      <c r="N406" s="24">
        <v>2019</v>
      </c>
    </row>
    <row r="407" spans="1:14">
      <c r="A407" s="24">
        <v>2019</v>
      </c>
      <c r="B407" s="24" t="s">
        <v>136</v>
      </c>
      <c r="C407" s="24" t="s">
        <v>137</v>
      </c>
      <c r="D407" s="24" t="s">
        <v>138</v>
      </c>
      <c r="E407" s="23">
        <v>2</v>
      </c>
      <c r="F407" s="24" t="s">
        <v>207</v>
      </c>
      <c r="G407" s="24" t="s">
        <v>225</v>
      </c>
      <c r="H407" s="23" t="s">
        <v>226</v>
      </c>
      <c r="I407" s="24" t="s">
        <v>225</v>
      </c>
      <c r="J407" s="23" t="s">
        <v>226</v>
      </c>
      <c r="K407" s="24" t="s">
        <v>226</v>
      </c>
      <c r="L407" s="23"/>
      <c r="M407" s="26" t="s">
        <v>389</v>
      </c>
      <c r="N407" s="24">
        <v>2019</v>
      </c>
    </row>
    <row r="408" spans="1:14">
      <c r="A408" s="24">
        <v>2019</v>
      </c>
      <c r="B408" s="24" t="s">
        <v>136</v>
      </c>
      <c r="C408" s="24" t="s">
        <v>176</v>
      </c>
      <c r="D408" s="24" t="s">
        <v>183</v>
      </c>
      <c r="E408" s="23"/>
      <c r="F408" s="24" t="s">
        <v>211</v>
      </c>
      <c r="G408" s="24" t="s">
        <v>225</v>
      </c>
      <c r="H408" s="23" t="s">
        <v>225</v>
      </c>
      <c r="I408" s="24" t="s">
        <v>225</v>
      </c>
      <c r="J408" s="23" t="s">
        <v>226</v>
      </c>
      <c r="K408" s="24" t="s">
        <v>226</v>
      </c>
      <c r="L408" s="23"/>
      <c r="M408" s="26" t="s">
        <v>389</v>
      </c>
      <c r="N408" s="24">
        <v>2019</v>
      </c>
    </row>
    <row r="409" spans="1:14">
      <c r="A409" s="24">
        <v>2019</v>
      </c>
      <c r="B409" s="24" t="s">
        <v>78</v>
      </c>
      <c r="C409" s="24" t="s">
        <v>95</v>
      </c>
      <c r="D409" s="24"/>
      <c r="E409" s="23"/>
      <c r="F409" s="24" t="s">
        <v>207</v>
      </c>
      <c r="G409" s="24" t="s">
        <v>225</v>
      </c>
      <c r="H409" s="23" t="s">
        <v>225</v>
      </c>
      <c r="I409" s="24" t="s">
        <v>225</v>
      </c>
      <c r="J409" s="23" t="s">
        <v>226</v>
      </c>
      <c r="K409" s="24" t="s">
        <v>226</v>
      </c>
      <c r="L409" s="23"/>
      <c r="M409" s="25">
        <v>43766</v>
      </c>
      <c r="N409" s="24">
        <v>2019</v>
      </c>
    </row>
    <row r="410" spans="1:14">
      <c r="A410" s="24">
        <v>2019</v>
      </c>
      <c r="B410" s="24" t="s">
        <v>136</v>
      </c>
      <c r="C410" s="24" t="s">
        <v>137</v>
      </c>
      <c r="D410" s="24" t="s">
        <v>138</v>
      </c>
      <c r="E410" s="23">
        <v>9</v>
      </c>
      <c r="F410" s="24" t="s">
        <v>211</v>
      </c>
      <c r="G410" s="24" t="s">
        <v>225</v>
      </c>
      <c r="H410" s="23" t="s">
        <v>226</v>
      </c>
      <c r="I410" s="24" t="s">
        <v>225</v>
      </c>
      <c r="J410" s="23" t="s">
        <v>226</v>
      </c>
      <c r="K410" s="24" t="s">
        <v>226</v>
      </c>
      <c r="L410" s="23"/>
      <c r="M410" s="26" t="s">
        <v>390</v>
      </c>
      <c r="N410" s="24">
        <v>2019</v>
      </c>
    </row>
    <row r="411" spans="1:14">
      <c r="A411" s="24">
        <v>2019</v>
      </c>
      <c r="B411" s="24" t="s">
        <v>136</v>
      </c>
      <c r="C411" s="24" t="s">
        <v>168</v>
      </c>
      <c r="D411" s="24" t="s">
        <v>170</v>
      </c>
      <c r="E411" s="23">
        <v>10</v>
      </c>
      <c r="F411" s="24" t="s">
        <v>211</v>
      </c>
      <c r="G411" s="24" t="s">
        <v>225</v>
      </c>
      <c r="H411" s="23" t="s">
        <v>226</v>
      </c>
      <c r="I411" s="24" t="s">
        <v>226</v>
      </c>
      <c r="J411" s="23" t="s">
        <v>226</v>
      </c>
      <c r="K411" s="24" t="s">
        <v>226</v>
      </c>
      <c r="L411" s="23"/>
      <c r="M411" s="26" t="s">
        <v>391</v>
      </c>
      <c r="N411" s="24">
        <v>2019</v>
      </c>
    </row>
    <row r="412" spans="1:14">
      <c r="A412" s="24">
        <v>2019</v>
      </c>
      <c r="B412" s="24" t="s">
        <v>136</v>
      </c>
      <c r="C412" s="24" t="s">
        <v>176</v>
      </c>
      <c r="D412" s="24" t="s">
        <v>187</v>
      </c>
      <c r="E412" s="23">
        <v>4</v>
      </c>
      <c r="F412" s="24" t="s">
        <v>211</v>
      </c>
      <c r="G412" s="24" t="s">
        <v>225</v>
      </c>
      <c r="H412" s="23" t="s">
        <v>226</v>
      </c>
      <c r="I412" s="24" t="s">
        <v>226</v>
      </c>
      <c r="J412" s="23" t="s">
        <v>226</v>
      </c>
      <c r="K412" s="24" t="s">
        <v>226</v>
      </c>
      <c r="L412" s="23"/>
      <c r="M412" s="26" t="s">
        <v>391</v>
      </c>
      <c r="N412" s="24">
        <v>2019</v>
      </c>
    </row>
    <row r="413" spans="1:14">
      <c r="A413" s="24">
        <v>2019</v>
      </c>
      <c r="B413" s="24" t="s">
        <v>78</v>
      </c>
      <c r="C413" s="24" t="s">
        <v>79</v>
      </c>
      <c r="D413" s="24" t="s">
        <v>52</v>
      </c>
      <c r="E413" s="28">
        <v>1</v>
      </c>
      <c r="F413" s="24" t="s">
        <v>211</v>
      </c>
      <c r="G413" s="24" t="s">
        <v>225</v>
      </c>
      <c r="H413" s="23" t="s">
        <v>225</v>
      </c>
      <c r="I413" s="24" t="s">
        <v>226</v>
      </c>
      <c r="J413" s="23" t="s">
        <v>226</v>
      </c>
      <c r="K413" s="24" t="s">
        <v>226</v>
      </c>
      <c r="L413" s="23"/>
      <c r="M413" s="26" t="s">
        <v>392</v>
      </c>
      <c r="N413" s="24">
        <v>2019</v>
      </c>
    </row>
    <row r="414" spans="1:14">
      <c r="A414" s="24">
        <v>2019</v>
      </c>
      <c r="B414" s="24" t="s">
        <v>136</v>
      </c>
      <c r="C414" s="24" t="s">
        <v>137</v>
      </c>
      <c r="D414" s="24" t="s">
        <v>144</v>
      </c>
      <c r="E414" s="23">
        <v>7</v>
      </c>
      <c r="F414" s="24" t="s">
        <v>207</v>
      </c>
      <c r="G414" s="24" t="s">
        <v>225</v>
      </c>
      <c r="H414" s="23" t="s">
        <v>226</v>
      </c>
      <c r="I414" s="24" t="s">
        <v>226</v>
      </c>
      <c r="J414" s="23" t="s">
        <v>226</v>
      </c>
      <c r="K414" s="24" t="s">
        <v>226</v>
      </c>
      <c r="L414" s="23"/>
      <c r="M414" s="26" t="s">
        <v>392</v>
      </c>
      <c r="N414" s="24">
        <v>2019</v>
      </c>
    </row>
    <row r="415" spans="1:14">
      <c r="A415" s="24">
        <v>2019</v>
      </c>
      <c r="B415" s="24" t="s">
        <v>78</v>
      </c>
      <c r="C415" s="24" t="s">
        <v>119</v>
      </c>
      <c r="D415" s="24" t="s">
        <v>393</v>
      </c>
      <c r="E415" s="23">
        <v>4</v>
      </c>
      <c r="F415" s="24" t="s">
        <v>211</v>
      </c>
      <c r="G415" s="24" t="s">
        <v>225</v>
      </c>
      <c r="H415" s="23" t="s">
        <v>226</v>
      </c>
      <c r="I415" s="24" t="s">
        <v>226</v>
      </c>
      <c r="J415" s="23" t="s">
        <v>226</v>
      </c>
      <c r="K415" s="24" t="s">
        <v>226</v>
      </c>
      <c r="L415" s="23"/>
      <c r="M415" s="25">
        <v>43779</v>
      </c>
      <c r="N415" s="24">
        <v>2019</v>
      </c>
    </row>
    <row r="416" spans="1:14">
      <c r="A416" s="24">
        <v>2019</v>
      </c>
      <c r="B416" s="24" t="s">
        <v>136</v>
      </c>
      <c r="C416" s="24" t="s">
        <v>137</v>
      </c>
      <c r="D416" s="24" t="s">
        <v>140</v>
      </c>
      <c r="E416" s="23">
        <v>3</v>
      </c>
      <c r="F416" s="24" t="s">
        <v>207</v>
      </c>
      <c r="G416" s="24" t="s">
        <v>225</v>
      </c>
      <c r="H416" s="23" t="s">
        <v>226</v>
      </c>
      <c r="I416" s="24" t="s">
        <v>226</v>
      </c>
      <c r="J416" s="23" t="s">
        <v>226</v>
      </c>
      <c r="K416" s="24" t="s">
        <v>226</v>
      </c>
      <c r="L416" s="23"/>
      <c r="M416" s="25">
        <v>43779</v>
      </c>
      <c r="N416" s="24">
        <v>2019</v>
      </c>
    </row>
    <row r="417" spans="1:14">
      <c r="A417" s="24">
        <v>2019</v>
      </c>
      <c r="B417" s="24" t="s">
        <v>4</v>
      </c>
      <c r="C417" s="24" t="s">
        <v>5</v>
      </c>
      <c r="D417" s="24" t="s">
        <v>7</v>
      </c>
      <c r="E417" s="23">
        <v>8</v>
      </c>
      <c r="F417" s="24" t="s">
        <v>207</v>
      </c>
      <c r="G417" s="24" t="s">
        <v>225</v>
      </c>
      <c r="H417" s="23" t="s">
        <v>226</v>
      </c>
      <c r="I417" s="24" t="s">
        <v>225</v>
      </c>
      <c r="J417" s="23" t="s">
        <v>226</v>
      </c>
      <c r="K417" s="24" t="s">
        <v>226</v>
      </c>
      <c r="L417" s="23"/>
      <c r="M417" s="25">
        <v>43779</v>
      </c>
      <c r="N417" s="24">
        <v>2019</v>
      </c>
    </row>
    <row r="418" spans="1:14">
      <c r="A418" s="24">
        <v>2019</v>
      </c>
      <c r="B418" s="24" t="s">
        <v>136</v>
      </c>
      <c r="C418" s="24" t="s">
        <v>146</v>
      </c>
      <c r="D418" s="24" t="s">
        <v>150</v>
      </c>
      <c r="E418" s="23"/>
      <c r="F418" s="24" t="s">
        <v>211</v>
      </c>
      <c r="G418" s="24" t="s">
        <v>225</v>
      </c>
      <c r="H418" s="23" t="s">
        <v>225</v>
      </c>
      <c r="I418" s="24" t="s">
        <v>226</v>
      </c>
      <c r="J418" s="23" t="s">
        <v>226</v>
      </c>
      <c r="K418" s="24" t="s">
        <v>226</v>
      </c>
      <c r="L418" s="23"/>
      <c r="M418" s="25">
        <v>43779</v>
      </c>
      <c r="N418" s="24">
        <v>2019</v>
      </c>
    </row>
    <row r="419" spans="1:14">
      <c r="A419" s="24">
        <v>2019</v>
      </c>
      <c r="B419" s="24" t="s">
        <v>4</v>
      </c>
      <c r="C419" s="24" t="s">
        <v>5</v>
      </c>
      <c r="D419" s="24" t="s">
        <v>7</v>
      </c>
      <c r="E419" s="23">
        <v>65</v>
      </c>
      <c r="F419" s="24" t="s">
        <v>207</v>
      </c>
      <c r="G419" s="24" t="s">
        <v>225</v>
      </c>
      <c r="H419" s="23" t="s">
        <v>226</v>
      </c>
      <c r="I419" s="24" t="s">
        <v>225</v>
      </c>
      <c r="J419" s="23" t="s">
        <v>226</v>
      </c>
      <c r="K419" s="24" t="s">
        <v>226</v>
      </c>
      <c r="L419" s="23"/>
      <c r="M419" s="25">
        <v>43779</v>
      </c>
      <c r="N419" s="24">
        <v>2019</v>
      </c>
    </row>
    <row r="420" spans="1:14">
      <c r="A420" s="24">
        <v>2019</v>
      </c>
      <c r="B420" s="24" t="s">
        <v>136</v>
      </c>
      <c r="C420" s="24" t="s">
        <v>189</v>
      </c>
      <c r="D420" s="24" t="s">
        <v>259</v>
      </c>
      <c r="E420" s="23">
        <v>1</v>
      </c>
      <c r="F420" s="24" t="s">
        <v>207</v>
      </c>
      <c r="G420" s="24" t="s">
        <v>225</v>
      </c>
      <c r="H420" s="23" t="s">
        <v>226</v>
      </c>
      <c r="I420" s="24" t="s">
        <v>226</v>
      </c>
      <c r="J420" s="23" t="s">
        <v>226</v>
      </c>
      <c r="K420" s="24" t="s">
        <v>226</v>
      </c>
      <c r="L420" s="23"/>
      <c r="M420" s="25">
        <v>43779</v>
      </c>
      <c r="N420" s="24">
        <v>2019</v>
      </c>
    </row>
    <row r="421" spans="1:14">
      <c r="A421" s="24">
        <v>2019</v>
      </c>
      <c r="B421" s="24" t="s">
        <v>78</v>
      </c>
      <c r="C421" s="24" t="s">
        <v>681</v>
      </c>
      <c r="D421" s="24" t="s">
        <v>248</v>
      </c>
      <c r="E421" s="23"/>
      <c r="F421" s="24" t="s">
        <v>207</v>
      </c>
      <c r="G421" s="24" t="s">
        <v>225</v>
      </c>
      <c r="H421" s="23" t="s">
        <v>225</v>
      </c>
      <c r="I421" s="24" t="s">
        <v>226</v>
      </c>
      <c r="J421" s="23" t="s">
        <v>226</v>
      </c>
      <c r="K421" s="24" t="s">
        <v>226</v>
      </c>
      <c r="L421" s="23"/>
      <c r="M421" s="25">
        <v>43780</v>
      </c>
      <c r="N421" s="24">
        <v>2019</v>
      </c>
    </row>
    <row r="422" spans="1:14">
      <c r="A422" s="24">
        <v>2019</v>
      </c>
      <c r="B422" s="24" t="s">
        <v>136</v>
      </c>
      <c r="C422" s="24" t="s">
        <v>171</v>
      </c>
      <c r="D422" s="24" t="s">
        <v>174</v>
      </c>
      <c r="E422" s="23">
        <v>10</v>
      </c>
      <c r="F422" s="24" t="s">
        <v>207</v>
      </c>
      <c r="G422" s="24" t="s">
        <v>225</v>
      </c>
      <c r="H422" s="23" t="s">
        <v>226</v>
      </c>
      <c r="I422" s="24" t="s">
        <v>226</v>
      </c>
      <c r="J422" s="23" t="s">
        <v>226</v>
      </c>
      <c r="K422" s="24" t="s">
        <v>226</v>
      </c>
      <c r="L422" s="23"/>
      <c r="M422" s="25">
        <v>43780</v>
      </c>
      <c r="N422" s="24">
        <v>2019</v>
      </c>
    </row>
    <row r="423" spans="1:14">
      <c r="A423" s="24">
        <v>2019</v>
      </c>
      <c r="B423" s="24" t="s">
        <v>136</v>
      </c>
      <c r="C423" s="24" t="s">
        <v>152</v>
      </c>
      <c r="D423" s="24" t="s">
        <v>153</v>
      </c>
      <c r="E423" s="28">
        <v>14</v>
      </c>
      <c r="F423" s="24" t="s">
        <v>211</v>
      </c>
      <c r="G423" s="24" t="s">
        <v>225</v>
      </c>
      <c r="H423" s="23" t="s">
        <v>225</v>
      </c>
      <c r="I423" s="24" t="s">
        <v>225</v>
      </c>
      <c r="J423" s="23" t="s">
        <v>226</v>
      </c>
      <c r="K423" s="24" t="s">
        <v>226</v>
      </c>
      <c r="L423" s="23"/>
      <c r="M423" s="26" t="s">
        <v>394</v>
      </c>
      <c r="N423" s="24">
        <v>2019</v>
      </c>
    </row>
    <row r="424" spans="1:14">
      <c r="A424" s="24">
        <v>2019</v>
      </c>
      <c r="B424" s="24" t="s">
        <v>136</v>
      </c>
      <c r="C424" s="24" t="s">
        <v>176</v>
      </c>
      <c r="D424" s="24" t="s">
        <v>177</v>
      </c>
      <c r="E424" s="23">
        <v>2</v>
      </c>
      <c r="F424" s="24" t="s">
        <v>207</v>
      </c>
      <c r="G424" s="24" t="s">
        <v>225</v>
      </c>
      <c r="H424" s="23" t="s">
        <v>226</v>
      </c>
      <c r="I424" s="24" t="s">
        <v>225</v>
      </c>
      <c r="J424" s="23" t="s">
        <v>226</v>
      </c>
      <c r="K424" s="24" t="s">
        <v>226</v>
      </c>
      <c r="L424" s="23"/>
      <c r="M424" s="26" t="s">
        <v>394</v>
      </c>
      <c r="N424" s="24">
        <v>2019</v>
      </c>
    </row>
    <row r="425" spans="1:14">
      <c r="A425" s="24">
        <v>2019</v>
      </c>
      <c r="B425" s="24" t="s">
        <v>4</v>
      </c>
      <c r="C425" s="24" t="s">
        <v>23</v>
      </c>
      <c r="D425" s="24" t="s">
        <v>30</v>
      </c>
      <c r="E425" s="23">
        <v>8</v>
      </c>
      <c r="F425" s="24" t="s">
        <v>207</v>
      </c>
      <c r="G425" s="24" t="s">
        <v>225</v>
      </c>
      <c r="H425" s="23" t="s">
        <v>226</v>
      </c>
      <c r="I425" s="24" t="s">
        <v>226</v>
      </c>
      <c r="J425" s="23" t="s">
        <v>226</v>
      </c>
      <c r="K425" s="24" t="s">
        <v>226</v>
      </c>
      <c r="L425" s="23"/>
      <c r="M425" s="26" t="s">
        <v>395</v>
      </c>
      <c r="N425" s="24">
        <v>2019</v>
      </c>
    </row>
    <row r="426" spans="1:14">
      <c r="A426" s="24">
        <v>2019</v>
      </c>
      <c r="B426" s="24" t="s">
        <v>4</v>
      </c>
      <c r="C426" s="24" t="s">
        <v>23</v>
      </c>
      <c r="D426" s="24" t="s">
        <v>27</v>
      </c>
      <c r="E426" s="23">
        <v>18</v>
      </c>
      <c r="F426" s="24" t="s">
        <v>211</v>
      </c>
      <c r="G426" s="24" t="s">
        <v>225</v>
      </c>
      <c r="H426" s="23" t="s">
        <v>226</v>
      </c>
      <c r="I426" s="24" t="s">
        <v>226</v>
      </c>
      <c r="J426" s="23" t="s">
        <v>226</v>
      </c>
      <c r="K426" s="24" t="s">
        <v>226</v>
      </c>
      <c r="L426" s="23"/>
      <c r="M426" s="26" t="s">
        <v>396</v>
      </c>
      <c r="N426" s="24">
        <v>2019</v>
      </c>
    </row>
    <row r="427" spans="1:14">
      <c r="A427" s="24">
        <v>2019</v>
      </c>
      <c r="B427" s="24" t="s">
        <v>136</v>
      </c>
      <c r="C427" s="24" t="s">
        <v>189</v>
      </c>
      <c r="D427" s="24" t="s">
        <v>258</v>
      </c>
      <c r="E427" s="23">
        <v>15</v>
      </c>
      <c r="F427" s="24" t="s">
        <v>207</v>
      </c>
      <c r="G427" s="24" t="s">
        <v>225</v>
      </c>
      <c r="H427" s="23" t="s">
        <v>226</v>
      </c>
      <c r="I427" s="24" t="s">
        <v>226</v>
      </c>
      <c r="J427" s="23" t="s">
        <v>226</v>
      </c>
      <c r="K427" s="24" t="s">
        <v>226</v>
      </c>
      <c r="L427" s="23"/>
      <c r="M427" s="26" t="s">
        <v>396</v>
      </c>
      <c r="N427" s="24">
        <v>2019</v>
      </c>
    </row>
    <row r="428" spans="1:14">
      <c r="A428" s="24">
        <v>2019</v>
      </c>
      <c r="B428" s="24" t="s">
        <v>4</v>
      </c>
      <c r="C428" s="24" t="s">
        <v>203</v>
      </c>
      <c r="D428" s="24" t="s">
        <v>42</v>
      </c>
      <c r="E428" s="23">
        <v>4</v>
      </c>
      <c r="F428" s="24" t="s">
        <v>207</v>
      </c>
      <c r="G428" s="24" t="s">
        <v>225</v>
      </c>
      <c r="H428" s="23" t="s">
        <v>226</v>
      </c>
      <c r="I428" s="24" t="s">
        <v>226</v>
      </c>
      <c r="J428" s="23" t="s">
        <v>226</v>
      </c>
      <c r="K428" s="24" t="s">
        <v>226</v>
      </c>
      <c r="L428" s="23"/>
      <c r="M428" s="26" t="s">
        <v>396</v>
      </c>
      <c r="N428" s="24">
        <v>2019</v>
      </c>
    </row>
    <row r="429" spans="1:14">
      <c r="A429" s="24">
        <v>2019</v>
      </c>
      <c r="B429" s="24" t="s">
        <v>4</v>
      </c>
      <c r="C429" s="24" t="s">
        <v>5</v>
      </c>
      <c r="D429" s="24" t="s">
        <v>8</v>
      </c>
      <c r="E429" s="23"/>
      <c r="F429" s="24" t="s">
        <v>211</v>
      </c>
      <c r="G429" s="24" t="s">
        <v>225</v>
      </c>
      <c r="H429" s="23" t="s">
        <v>225</v>
      </c>
      <c r="I429" s="24" t="s">
        <v>226</v>
      </c>
      <c r="J429" s="23" t="s">
        <v>226</v>
      </c>
      <c r="K429" s="24" t="s">
        <v>226</v>
      </c>
      <c r="L429" s="23"/>
      <c r="M429" s="26" t="s">
        <v>396</v>
      </c>
      <c r="N429" s="24">
        <v>2019</v>
      </c>
    </row>
    <row r="430" spans="1:14">
      <c r="A430" s="24">
        <v>2019</v>
      </c>
      <c r="B430" s="24" t="s">
        <v>136</v>
      </c>
      <c r="C430" s="24" t="s">
        <v>137</v>
      </c>
      <c r="D430" s="24" t="s">
        <v>140</v>
      </c>
      <c r="E430" s="23">
        <v>1</v>
      </c>
      <c r="F430" s="24" t="s">
        <v>211</v>
      </c>
      <c r="G430" s="24" t="s">
        <v>225</v>
      </c>
      <c r="H430" s="23" t="s">
        <v>225</v>
      </c>
      <c r="I430" s="24" t="s">
        <v>225</v>
      </c>
      <c r="J430" s="23" t="s">
        <v>226</v>
      </c>
      <c r="K430" s="24" t="s">
        <v>226</v>
      </c>
      <c r="L430" s="23"/>
      <c r="M430" s="26" t="s">
        <v>396</v>
      </c>
      <c r="N430" s="24">
        <v>2019</v>
      </c>
    </row>
    <row r="431" spans="1:14">
      <c r="A431" s="24">
        <v>2019</v>
      </c>
      <c r="B431" s="24" t="s">
        <v>136</v>
      </c>
      <c r="C431" s="24" t="s">
        <v>146</v>
      </c>
      <c r="D431" s="24" t="s">
        <v>149</v>
      </c>
      <c r="E431" s="23">
        <v>2</v>
      </c>
      <c r="F431" s="24" t="s">
        <v>211</v>
      </c>
      <c r="G431" s="24" t="s">
        <v>225</v>
      </c>
      <c r="H431" s="23" t="s">
        <v>226</v>
      </c>
      <c r="I431" s="24" t="s">
        <v>225</v>
      </c>
      <c r="J431" s="23" t="s">
        <v>226</v>
      </c>
      <c r="K431" s="24" t="s">
        <v>226</v>
      </c>
      <c r="L431" s="23"/>
      <c r="M431" s="26" t="s">
        <v>397</v>
      </c>
      <c r="N431" s="24">
        <v>2019</v>
      </c>
    </row>
    <row r="432" spans="1:14">
      <c r="A432" s="24">
        <v>2019</v>
      </c>
      <c r="B432" s="24" t="s">
        <v>136</v>
      </c>
      <c r="C432" s="24" t="s">
        <v>171</v>
      </c>
      <c r="D432" s="24" t="s">
        <v>175</v>
      </c>
      <c r="E432" s="28">
        <v>3</v>
      </c>
      <c r="F432" s="24" t="s">
        <v>207</v>
      </c>
      <c r="G432" s="24" t="s">
        <v>225</v>
      </c>
      <c r="H432" s="23" t="s">
        <v>225</v>
      </c>
      <c r="I432" s="24" t="s">
        <v>226</v>
      </c>
      <c r="J432" s="23" t="s">
        <v>226</v>
      </c>
      <c r="K432" s="24" t="s">
        <v>226</v>
      </c>
      <c r="L432" s="23"/>
      <c r="M432" s="26" t="s">
        <v>398</v>
      </c>
      <c r="N432" s="24">
        <v>2019</v>
      </c>
    </row>
    <row r="433" spans="1:14">
      <c r="A433" s="24">
        <v>2019</v>
      </c>
      <c r="B433" s="24" t="s">
        <v>136</v>
      </c>
      <c r="C433" s="24" t="s">
        <v>176</v>
      </c>
      <c r="D433" s="24" t="s">
        <v>183</v>
      </c>
      <c r="E433" s="23">
        <v>1</v>
      </c>
      <c r="F433" s="24" t="s">
        <v>207</v>
      </c>
      <c r="G433" s="24" t="s">
        <v>225</v>
      </c>
      <c r="H433" s="23" t="s">
        <v>226</v>
      </c>
      <c r="I433" s="24" t="s">
        <v>225</v>
      </c>
      <c r="J433" s="23" t="s">
        <v>226</v>
      </c>
      <c r="K433" s="24" t="s">
        <v>226</v>
      </c>
      <c r="L433" s="23"/>
      <c r="M433" s="26" t="s">
        <v>399</v>
      </c>
      <c r="N433" s="24">
        <v>2019</v>
      </c>
    </row>
    <row r="434" spans="1:14">
      <c r="A434" s="24">
        <v>2019</v>
      </c>
      <c r="B434" s="24" t="s">
        <v>4</v>
      </c>
      <c r="C434" s="24" t="s">
        <v>14</v>
      </c>
      <c r="D434" s="24" t="s">
        <v>16</v>
      </c>
      <c r="E434" s="23">
        <v>3</v>
      </c>
      <c r="F434" s="24" t="s">
        <v>211</v>
      </c>
      <c r="G434" s="24" t="s">
        <v>225</v>
      </c>
      <c r="H434" s="23" t="s">
        <v>226</v>
      </c>
      <c r="I434" s="24" t="s">
        <v>225</v>
      </c>
      <c r="J434" s="23" t="s">
        <v>226</v>
      </c>
      <c r="K434" s="24" t="s">
        <v>226</v>
      </c>
      <c r="L434" s="23"/>
      <c r="M434" s="26" t="s">
        <v>399</v>
      </c>
      <c r="N434" s="24">
        <v>2019</v>
      </c>
    </row>
    <row r="435" spans="1:14">
      <c r="A435" s="24">
        <v>2019</v>
      </c>
      <c r="B435" s="24" t="s">
        <v>136</v>
      </c>
      <c r="C435" s="24" t="s">
        <v>176</v>
      </c>
      <c r="D435" s="24" t="s">
        <v>183</v>
      </c>
      <c r="E435" s="23"/>
      <c r="F435" s="24" t="s">
        <v>211</v>
      </c>
      <c r="G435" s="24" t="s">
        <v>225</v>
      </c>
      <c r="H435" s="23" t="s">
        <v>225</v>
      </c>
      <c r="I435" s="24" t="s">
        <v>225</v>
      </c>
      <c r="J435" s="23" t="s">
        <v>226</v>
      </c>
      <c r="K435" s="24" t="s">
        <v>225</v>
      </c>
      <c r="L435" s="23"/>
      <c r="M435" s="26" t="s">
        <v>400</v>
      </c>
      <c r="N435" s="24">
        <v>2019</v>
      </c>
    </row>
    <row r="436" spans="1:14">
      <c r="A436" s="24">
        <v>2019</v>
      </c>
      <c r="B436" s="24" t="s">
        <v>78</v>
      </c>
      <c r="C436" s="24" t="s">
        <v>79</v>
      </c>
      <c r="D436" s="24" t="s">
        <v>401</v>
      </c>
      <c r="E436" s="23">
        <v>4</v>
      </c>
      <c r="F436" s="24" t="s">
        <v>211</v>
      </c>
      <c r="G436" s="24" t="s">
        <v>225</v>
      </c>
      <c r="H436" s="23" t="s">
        <v>226</v>
      </c>
      <c r="I436" s="24" t="s">
        <v>225</v>
      </c>
      <c r="J436" s="23" t="s">
        <v>226</v>
      </c>
      <c r="K436" s="24" t="s">
        <v>226</v>
      </c>
      <c r="L436" s="23"/>
      <c r="M436" s="26" t="s">
        <v>400</v>
      </c>
      <c r="N436" s="24">
        <v>2019</v>
      </c>
    </row>
    <row r="437" spans="1:14">
      <c r="A437" s="24">
        <v>2019</v>
      </c>
      <c r="B437" s="24" t="s">
        <v>4</v>
      </c>
      <c r="C437" s="24" t="s">
        <v>14</v>
      </c>
      <c r="D437" s="24" t="s">
        <v>15</v>
      </c>
      <c r="E437" s="23">
        <v>7</v>
      </c>
      <c r="F437" s="24" t="s">
        <v>207</v>
      </c>
      <c r="G437" s="24" t="s">
        <v>225</v>
      </c>
      <c r="H437" s="23" t="s">
        <v>226</v>
      </c>
      <c r="I437" s="24" t="s">
        <v>225</v>
      </c>
      <c r="J437" s="23" t="s">
        <v>226</v>
      </c>
      <c r="K437" s="24" t="s">
        <v>226</v>
      </c>
      <c r="L437" s="23"/>
      <c r="M437" s="26" t="s">
        <v>400</v>
      </c>
      <c r="N437" s="24">
        <v>2019</v>
      </c>
    </row>
    <row r="438" spans="1:14">
      <c r="A438" s="24">
        <v>2019</v>
      </c>
      <c r="B438" s="24" t="s">
        <v>136</v>
      </c>
      <c r="C438" s="24" t="s">
        <v>682</v>
      </c>
      <c r="D438" s="24" t="s">
        <v>167</v>
      </c>
      <c r="E438" s="23"/>
      <c r="F438" s="24" t="s">
        <v>211</v>
      </c>
      <c r="G438" s="23" t="s">
        <v>226</v>
      </c>
      <c r="H438" s="23" t="s">
        <v>225</v>
      </c>
      <c r="I438" s="24" t="s">
        <v>225</v>
      </c>
      <c r="J438" s="23" t="s">
        <v>226</v>
      </c>
      <c r="K438" s="24" t="s">
        <v>225</v>
      </c>
      <c r="L438" s="23"/>
      <c r="M438" s="26" t="s">
        <v>400</v>
      </c>
      <c r="N438" s="24">
        <v>2019</v>
      </c>
    </row>
    <row r="439" spans="1:14">
      <c r="A439" s="24">
        <v>2019</v>
      </c>
      <c r="B439" s="24" t="s">
        <v>136</v>
      </c>
      <c r="C439" s="24" t="s">
        <v>682</v>
      </c>
      <c r="D439" s="24" t="s">
        <v>167</v>
      </c>
      <c r="E439" s="23"/>
      <c r="F439" s="24" t="s">
        <v>211</v>
      </c>
      <c r="G439" s="23" t="s">
        <v>226</v>
      </c>
      <c r="H439" s="23" t="s">
        <v>225</v>
      </c>
      <c r="I439" s="24" t="s">
        <v>225</v>
      </c>
      <c r="J439" s="23" t="s">
        <v>226</v>
      </c>
      <c r="K439" s="24" t="s">
        <v>225</v>
      </c>
      <c r="L439" s="23"/>
      <c r="M439" s="26" t="s">
        <v>400</v>
      </c>
      <c r="N439" s="24">
        <v>2019</v>
      </c>
    </row>
    <row r="440" spans="1:14">
      <c r="A440" s="24">
        <v>2019</v>
      </c>
      <c r="B440" s="24" t="s">
        <v>4</v>
      </c>
      <c r="C440" s="24" t="s">
        <v>203</v>
      </c>
      <c r="D440" s="24" t="s">
        <v>42</v>
      </c>
      <c r="E440" s="23">
        <v>5</v>
      </c>
      <c r="F440" s="24" t="s">
        <v>211</v>
      </c>
      <c r="G440" s="24" t="s">
        <v>225</v>
      </c>
      <c r="H440" s="23" t="s">
        <v>226</v>
      </c>
      <c r="I440" s="24" t="s">
        <v>226</v>
      </c>
      <c r="J440" s="23" t="s">
        <v>226</v>
      </c>
      <c r="K440" s="24" t="s">
        <v>226</v>
      </c>
      <c r="L440" s="23"/>
      <c r="M440" s="26" t="s">
        <v>400</v>
      </c>
      <c r="N440" s="24">
        <v>2019</v>
      </c>
    </row>
    <row r="441" spans="1:14">
      <c r="A441" s="24">
        <v>2019</v>
      </c>
      <c r="B441" s="24" t="s">
        <v>78</v>
      </c>
      <c r="C441" s="24" t="s">
        <v>122</v>
      </c>
      <c r="D441" s="24" t="s">
        <v>128</v>
      </c>
      <c r="E441" s="23">
        <v>11</v>
      </c>
      <c r="F441" s="24" t="s">
        <v>207</v>
      </c>
      <c r="G441" s="24" t="s">
        <v>225</v>
      </c>
      <c r="H441" s="23" t="s">
        <v>226</v>
      </c>
      <c r="I441" s="24" t="s">
        <v>226</v>
      </c>
      <c r="J441" s="23" t="s">
        <v>226</v>
      </c>
      <c r="K441" s="24" t="s">
        <v>226</v>
      </c>
      <c r="L441" s="23"/>
      <c r="M441" s="26" t="s">
        <v>400</v>
      </c>
      <c r="N441" s="24">
        <v>2019</v>
      </c>
    </row>
    <row r="442" spans="1:14">
      <c r="A442" s="24">
        <v>2019</v>
      </c>
      <c r="B442" s="24" t="s">
        <v>78</v>
      </c>
      <c r="C442" s="24" t="s">
        <v>681</v>
      </c>
      <c r="D442" s="24" t="s">
        <v>402</v>
      </c>
      <c r="E442" s="23"/>
      <c r="F442" s="24" t="s">
        <v>207</v>
      </c>
      <c r="G442" s="24" t="s">
        <v>225</v>
      </c>
      <c r="H442" s="23" t="s">
        <v>225</v>
      </c>
      <c r="I442" s="24" t="s">
        <v>225</v>
      </c>
      <c r="J442" s="23" t="s">
        <v>226</v>
      </c>
      <c r="K442" s="24" t="s">
        <v>226</v>
      </c>
      <c r="L442" s="23"/>
      <c r="M442" s="26" t="s">
        <v>403</v>
      </c>
      <c r="N442" s="24">
        <v>2019</v>
      </c>
    </row>
    <row r="443" spans="1:14">
      <c r="A443" s="24">
        <v>2019</v>
      </c>
      <c r="B443" s="24" t="s">
        <v>78</v>
      </c>
      <c r="C443" s="24" t="s">
        <v>79</v>
      </c>
      <c r="D443" s="24" t="s">
        <v>357</v>
      </c>
      <c r="E443" s="23">
        <v>6</v>
      </c>
      <c r="F443" s="24" t="s">
        <v>207</v>
      </c>
      <c r="G443" s="23" t="s">
        <v>226</v>
      </c>
      <c r="H443" s="23" t="s">
        <v>226</v>
      </c>
      <c r="I443" s="24" t="s">
        <v>226</v>
      </c>
      <c r="J443" s="23" t="s">
        <v>226</v>
      </c>
      <c r="K443" s="24" t="s">
        <v>226</v>
      </c>
      <c r="L443" s="23"/>
      <c r="M443" s="26" t="s">
        <v>404</v>
      </c>
      <c r="N443" s="24">
        <v>2019</v>
      </c>
    </row>
    <row r="444" spans="1:14">
      <c r="A444" s="24">
        <v>2019</v>
      </c>
      <c r="B444" s="24" t="s">
        <v>136</v>
      </c>
      <c r="C444" s="24" t="s">
        <v>176</v>
      </c>
      <c r="D444" s="24" t="s">
        <v>177</v>
      </c>
      <c r="E444" s="23">
        <v>3</v>
      </c>
      <c r="F444" s="24" t="s">
        <v>211</v>
      </c>
      <c r="G444" s="24" t="s">
        <v>225</v>
      </c>
      <c r="H444" s="23" t="s">
        <v>226</v>
      </c>
      <c r="I444" s="24" t="s">
        <v>225</v>
      </c>
      <c r="J444" s="23" t="s">
        <v>226</v>
      </c>
      <c r="K444" s="24" t="s">
        <v>226</v>
      </c>
      <c r="L444" s="23"/>
      <c r="M444" s="26" t="s">
        <v>405</v>
      </c>
      <c r="N444" s="24">
        <v>2019</v>
      </c>
    </row>
    <row r="445" spans="1:14">
      <c r="A445" s="24">
        <v>2019</v>
      </c>
      <c r="B445" s="24" t="s">
        <v>136</v>
      </c>
      <c r="C445" s="24" t="s">
        <v>176</v>
      </c>
      <c r="D445" s="24" t="s">
        <v>184</v>
      </c>
      <c r="E445" s="23">
        <v>4</v>
      </c>
      <c r="F445" s="24" t="s">
        <v>211</v>
      </c>
      <c r="G445" s="24" t="s">
        <v>225</v>
      </c>
      <c r="H445" s="23" t="s">
        <v>226</v>
      </c>
      <c r="I445" s="24" t="s">
        <v>226</v>
      </c>
      <c r="J445" s="23" t="s">
        <v>226</v>
      </c>
      <c r="K445" s="24" t="s">
        <v>226</v>
      </c>
      <c r="L445" s="23"/>
      <c r="M445" s="26" t="s">
        <v>406</v>
      </c>
      <c r="N445" s="24">
        <v>2019</v>
      </c>
    </row>
    <row r="446" spans="1:14">
      <c r="A446" s="24">
        <v>2019</v>
      </c>
      <c r="B446" s="24" t="s">
        <v>4</v>
      </c>
      <c r="C446" s="24" t="s">
        <v>203</v>
      </c>
      <c r="D446" s="24" t="s">
        <v>42</v>
      </c>
      <c r="E446" s="23">
        <v>3</v>
      </c>
      <c r="F446" s="24" t="s">
        <v>211</v>
      </c>
      <c r="G446" s="24" t="s">
        <v>225</v>
      </c>
      <c r="H446" s="23" t="s">
        <v>226</v>
      </c>
      <c r="I446" s="24" t="s">
        <v>226</v>
      </c>
      <c r="J446" s="23" t="s">
        <v>226</v>
      </c>
      <c r="K446" s="24" t="s">
        <v>226</v>
      </c>
      <c r="L446" s="23"/>
      <c r="M446" s="26" t="s">
        <v>406</v>
      </c>
      <c r="N446" s="24">
        <v>2019</v>
      </c>
    </row>
    <row r="447" spans="1:14">
      <c r="A447" s="24">
        <v>2019</v>
      </c>
      <c r="B447" s="24" t="s">
        <v>78</v>
      </c>
      <c r="C447" s="24" t="s">
        <v>95</v>
      </c>
      <c r="D447" s="24" t="s">
        <v>98</v>
      </c>
      <c r="E447" s="23">
        <v>3</v>
      </c>
      <c r="F447" s="24" t="s">
        <v>207</v>
      </c>
      <c r="G447" s="24" t="s">
        <v>225</v>
      </c>
      <c r="H447" s="23" t="s">
        <v>226</v>
      </c>
      <c r="I447" s="24" t="s">
        <v>226</v>
      </c>
      <c r="J447" s="23" t="s">
        <v>226</v>
      </c>
      <c r="K447" s="24" t="s">
        <v>226</v>
      </c>
      <c r="L447" s="23"/>
      <c r="M447" s="26" t="s">
        <v>406</v>
      </c>
      <c r="N447" s="24">
        <v>2019</v>
      </c>
    </row>
    <row r="448" spans="1:14">
      <c r="A448" s="24">
        <v>2019</v>
      </c>
      <c r="B448" s="24" t="s">
        <v>4</v>
      </c>
      <c r="C448" s="24" t="s">
        <v>23</v>
      </c>
      <c r="D448" s="24" t="s">
        <v>24</v>
      </c>
      <c r="E448" s="23">
        <v>4</v>
      </c>
      <c r="F448" s="24" t="s">
        <v>207</v>
      </c>
      <c r="G448" s="24" t="s">
        <v>225</v>
      </c>
      <c r="H448" s="23" t="s">
        <v>226</v>
      </c>
      <c r="I448" s="24" t="s">
        <v>225</v>
      </c>
      <c r="J448" s="23" t="s">
        <v>226</v>
      </c>
      <c r="K448" s="24" t="s">
        <v>226</v>
      </c>
      <c r="L448" s="23"/>
      <c r="M448" s="26" t="s">
        <v>406</v>
      </c>
      <c r="N448" s="24">
        <v>2019</v>
      </c>
    </row>
    <row r="449" spans="1:14">
      <c r="A449" s="24">
        <v>2019</v>
      </c>
      <c r="B449" s="24" t="s">
        <v>136</v>
      </c>
      <c r="C449" s="24" t="s">
        <v>176</v>
      </c>
      <c r="D449" s="24" t="s">
        <v>177</v>
      </c>
      <c r="E449" s="23"/>
      <c r="F449" s="24" t="s">
        <v>211</v>
      </c>
      <c r="G449" s="24" t="s">
        <v>225</v>
      </c>
      <c r="H449" s="23" t="s">
        <v>225</v>
      </c>
      <c r="I449" s="24" t="s">
        <v>226</v>
      </c>
      <c r="J449" s="23" t="s">
        <v>226</v>
      </c>
      <c r="K449" s="24" t="s">
        <v>226</v>
      </c>
      <c r="L449" s="23"/>
      <c r="M449" s="26" t="s">
        <v>406</v>
      </c>
      <c r="N449" s="24">
        <v>2019</v>
      </c>
    </row>
    <row r="450" spans="1:14">
      <c r="A450" s="24">
        <v>2019</v>
      </c>
      <c r="B450" s="24" t="s">
        <v>78</v>
      </c>
      <c r="C450" s="24" t="s">
        <v>95</v>
      </c>
      <c r="D450" s="24"/>
      <c r="E450" s="23">
        <v>1</v>
      </c>
      <c r="F450" s="24" t="s">
        <v>207</v>
      </c>
      <c r="G450" s="24" t="s">
        <v>225</v>
      </c>
      <c r="H450" s="23" t="s">
        <v>226</v>
      </c>
      <c r="I450" s="24" t="s">
        <v>226</v>
      </c>
      <c r="J450" s="23" t="s">
        <v>226</v>
      </c>
      <c r="K450" s="24" t="s">
        <v>226</v>
      </c>
      <c r="L450" s="23"/>
      <c r="M450" s="26" t="s">
        <v>406</v>
      </c>
      <c r="N450" s="24">
        <v>2019</v>
      </c>
    </row>
    <row r="451" spans="1:14">
      <c r="A451" s="24">
        <v>2019</v>
      </c>
      <c r="B451" s="24" t="s">
        <v>78</v>
      </c>
      <c r="C451" s="24" t="s">
        <v>122</v>
      </c>
      <c r="D451" s="24" t="s">
        <v>127</v>
      </c>
      <c r="E451" s="23">
        <v>1</v>
      </c>
      <c r="F451" s="24" t="s">
        <v>211</v>
      </c>
      <c r="G451" s="23" t="s">
        <v>226</v>
      </c>
      <c r="H451" s="23" t="s">
        <v>226</v>
      </c>
      <c r="I451" s="24" t="s">
        <v>226</v>
      </c>
      <c r="J451" s="23" t="s">
        <v>226</v>
      </c>
      <c r="K451" s="24" t="s">
        <v>225</v>
      </c>
      <c r="L451" s="23"/>
      <c r="M451" s="26" t="s">
        <v>406</v>
      </c>
      <c r="N451" s="24">
        <v>2019</v>
      </c>
    </row>
    <row r="452" spans="1:14">
      <c r="A452" s="24">
        <v>2019</v>
      </c>
      <c r="B452" s="24" t="s">
        <v>4</v>
      </c>
      <c r="C452" s="24" t="s">
        <v>23</v>
      </c>
      <c r="D452" s="24" t="s">
        <v>27</v>
      </c>
      <c r="E452" s="23">
        <v>2</v>
      </c>
      <c r="F452" s="24" t="s">
        <v>211</v>
      </c>
      <c r="G452" s="24" t="s">
        <v>225</v>
      </c>
      <c r="H452" s="23" t="s">
        <v>226</v>
      </c>
      <c r="I452" s="24" t="s">
        <v>225</v>
      </c>
      <c r="J452" s="23" t="s">
        <v>226</v>
      </c>
      <c r="K452" s="24" t="s">
        <v>226</v>
      </c>
      <c r="L452" s="23"/>
      <c r="M452" s="25">
        <v>43810</v>
      </c>
      <c r="N452" s="24">
        <v>2019</v>
      </c>
    </row>
    <row r="453" spans="1:14">
      <c r="A453" s="24">
        <v>2019</v>
      </c>
      <c r="B453" s="24" t="s">
        <v>78</v>
      </c>
      <c r="C453" s="24" t="s">
        <v>95</v>
      </c>
      <c r="D453" s="24" t="s">
        <v>102</v>
      </c>
      <c r="E453" s="23"/>
      <c r="F453" s="24" t="s">
        <v>211</v>
      </c>
      <c r="G453" s="24" t="s">
        <v>225</v>
      </c>
      <c r="H453" s="23" t="s">
        <v>225</v>
      </c>
      <c r="I453" s="24" t="s">
        <v>226</v>
      </c>
      <c r="J453" s="23" t="s">
        <v>226</v>
      </c>
      <c r="K453" s="24" t="s">
        <v>226</v>
      </c>
      <c r="L453" s="23"/>
      <c r="M453" s="25">
        <v>43811</v>
      </c>
      <c r="N453" s="24">
        <v>2019</v>
      </c>
    </row>
    <row r="454" spans="1:14">
      <c r="A454" s="24">
        <v>2019</v>
      </c>
      <c r="B454" s="24" t="s">
        <v>4</v>
      </c>
      <c r="C454" s="24" t="s">
        <v>5</v>
      </c>
      <c r="D454" s="24" t="s">
        <v>13</v>
      </c>
      <c r="E454" s="23"/>
      <c r="F454" s="24" t="s">
        <v>211</v>
      </c>
      <c r="G454" s="24" t="s">
        <v>225</v>
      </c>
      <c r="H454" s="23" t="s">
        <v>225</v>
      </c>
      <c r="I454" s="24" t="s">
        <v>225</v>
      </c>
      <c r="J454" s="23" t="s">
        <v>226</v>
      </c>
      <c r="K454" s="24" t="s">
        <v>226</v>
      </c>
      <c r="L454" s="23"/>
      <c r="M454" s="25">
        <v>43811</v>
      </c>
      <c r="N454" s="24">
        <v>2019</v>
      </c>
    </row>
    <row r="455" spans="1:14">
      <c r="A455" s="24">
        <v>2019</v>
      </c>
      <c r="B455" s="24" t="s">
        <v>4</v>
      </c>
      <c r="C455" s="24" t="s">
        <v>23</v>
      </c>
      <c r="D455" s="24" t="s">
        <v>407</v>
      </c>
      <c r="E455" s="23">
        <v>2</v>
      </c>
      <c r="F455" s="24" t="s">
        <v>207</v>
      </c>
      <c r="G455" s="24" t="s">
        <v>225</v>
      </c>
      <c r="H455" s="23" t="s">
        <v>226</v>
      </c>
      <c r="I455" s="24" t="s">
        <v>225</v>
      </c>
      <c r="J455" s="23" t="s">
        <v>226</v>
      </c>
      <c r="K455" s="24" t="s">
        <v>225</v>
      </c>
      <c r="L455" s="23"/>
      <c r="M455" s="25">
        <v>43811</v>
      </c>
      <c r="N455" s="24">
        <v>2019</v>
      </c>
    </row>
    <row r="456" spans="1:14">
      <c r="A456" s="24">
        <v>2019</v>
      </c>
      <c r="B456" s="24" t="s">
        <v>78</v>
      </c>
      <c r="C456" s="24" t="s">
        <v>681</v>
      </c>
      <c r="D456" s="24" t="s">
        <v>131</v>
      </c>
      <c r="E456" s="23">
        <v>3</v>
      </c>
      <c r="F456" s="24" t="s">
        <v>211</v>
      </c>
      <c r="G456" s="24" t="s">
        <v>225</v>
      </c>
      <c r="H456" s="23" t="s">
        <v>226</v>
      </c>
      <c r="I456" s="24" t="s">
        <v>225</v>
      </c>
      <c r="J456" s="23" t="s">
        <v>226</v>
      </c>
      <c r="K456" s="24" t="s">
        <v>226</v>
      </c>
      <c r="L456" s="23"/>
      <c r="M456" s="25">
        <v>43811</v>
      </c>
      <c r="N456" s="24">
        <v>2019</v>
      </c>
    </row>
    <row r="457" spans="1:14">
      <c r="A457" s="24">
        <v>2019</v>
      </c>
      <c r="B457" s="24" t="s">
        <v>136</v>
      </c>
      <c r="C457" s="24" t="s">
        <v>176</v>
      </c>
      <c r="D457" s="24" t="s">
        <v>187</v>
      </c>
      <c r="E457" s="23">
        <v>2</v>
      </c>
      <c r="F457" s="24" t="s">
        <v>211</v>
      </c>
      <c r="G457" s="24" t="s">
        <v>225</v>
      </c>
      <c r="H457" s="23" t="s">
        <v>226</v>
      </c>
      <c r="I457" s="24" t="s">
        <v>225</v>
      </c>
      <c r="J457" s="23" t="s">
        <v>226</v>
      </c>
      <c r="K457" s="24" t="s">
        <v>226</v>
      </c>
      <c r="L457" s="23"/>
      <c r="M457" s="25">
        <v>43811</v>
      </c>
      <c r="N457" s="24">
        <v>2019</v>
      </c>
    </row>
    <row r="458" spans="1:14">
      <c r="A458" s="24">
        <v>2019</v>
      </c>
      <c r="B458" s="24" t="s">
        <v>78</v>
      </c>
      <c r="C458" s="24" t="s">
        <v>681</v>
      </c>
      <c r="D458" s="24" t="s">
        <v>131</v>
      </c>
      <c r="E458" s="23">
        <v>1</v>
      </c>
      <c r="F458" s="24" t="s">
        <v>211</v>
      </c>
      <c r="G458" s="24" t="s">
        <v>225</v>
      </c>
      <c r="H458" s="23" t="s">
        <v>226</v>
      </c>
      <c r="I458" s="24" t="s">
        <v>225</v>
      </c>
      <c r="J458" s="23" t="s">
        <v>226</v>
      </c>
      <c r="K458" s="24" t="s">
        <v>226</v>
      </c>
      <c r="L458" s="23"/>
      <c r="M458" s="25">
        <v>43811</v>
      </c>
      <c r="N458" s="24">
        <v>2019</v>
      </c>
    </row>
    <row r="459" spans="1:14">
      <c r="A459" s="24">
        <v>2019</v>
      </c>
      <c r="B459" s="24" t="s">
        <v>4</v>
      </c>
      <c r="C459" s="24" t="s">
        <v>5</v>
      </c>
      <c r="D459" s="24" t="s">
        <v>12</v>
      </c>
      <c r="E459" s="23">
        <v>1</v>
      </c>
      <c r="F459" s="24" t="s">
        <v>207</v>
      </c>
      <c r="G459" s="24" t="s">
        <v>225</v>
      </c>
      <c r="H459" s="23" t="s">
        <v>226</v>
      </c>
      <c r="I459" s="24" t="s">
        <v>225</v>
      </c>
      <c r="J459" s="23" t="s">
        <v>226</v>
      </c>
      <c r="K459" s="24" t="s">
        <v>226</v>
      </c>
      <c r="L459" s="23"/>
      <c r="M459" s="26" t="s">
        <v>408</v>
      </c>
      <c r="N459" s="24">
        <v>2019</v>
      </c>
    </row>
    <row r="460" spans="1:14">
      <c r="A460" s="24">
        <v>2019</v>
      </c>
      <c r="B460" s="24" t="s">
        <v>78</v>
      </c>
      <c r="C460" s="24" t="s">
        <v>681</v>
      </c>
      <c r="D460" s="24" t="s">
        <v>131</v>
      </c>
      <c r="E460" s="23"/>
      <c r="F460" s="24" t="s">
        <v>211</v>
      </c>
      <c r="G460" s="24" t="s">
        <v>225</v>
      </c>
      <c r="H460" s="23" t="s">
        <v>225</v>
      </c>
      <c r="I460" s="24" t="s">
        <v>226</v>
      </c>
      <c r="J460" s="23" t="s">
        <v>226</v>
      </c>
      <c r="K460" s="24" t="s">
        <v>226</v>
      </c>
      <c r="L460" s="23"/>
      <c r="M460" s="26" t="s">
        <v>408</v>
      </c>
      <c r="N460" s="24">
        <v>2019</v>
      </c>
    </row>
    <row r="461" spans="1:14">
      <c r="A461" s="24">
        <v>2019</v>
      </c>
      <c r="B461" s="24" t="s">
        <v>4</v>
      </c>
      <c r="C461" s="24" t="s">
        <v>18</v>
      </c>
      <c r="D461" s="24" t="s">
        <v>22</v>
      </c>
      <c r="E461" s="23">
        <v>9</v>
      </c>
      <c r="F461" s="24" t="s">
        <v>211</v>
      </c>
      <c r="G461" s="24" t="s">
        <v>225</v>
      </c>
      <c r="H461" s="23" t="s">
        <v>226</v>
      </c>
      <c r="I461" s="24" t="s">
        <v>225</v>
      </c>
      <c r="J461" s="23" t="s">
        <v>226</v>
      </c>
      <c r="K461" s="24" t="s">
        <v>226</v>
      </c>
      <c r="L461" s="23"/>
      <c r="M461" s="26" t="s">
        <v>408</v>
      </c>
      <c r="N461" s="24">
        <v>2019</v>
      </c>
    </row>
    <row r="462" spans="1:14">
      <c r="A462" s="24">
        <v>2019</v>
      </c>
      <c r="B462" s="24" t="s">
        <v>4</v>
      </c>
      <c r="C462" s="24" t="s">
        <v>31</v>
      </c>
      <c r="D462" s="24" t="s">
        <v>32</v>
      </c>
      <c r="E462" s="23">
        <v>2</v>
      </c>
      <c r="F462" s="24" t="s">
        <v>211</v>
      </c>
      <c r="G462" s="24" t="s">
        <v>225</v>
      </c>
      <c r="H462" s="23" t="s">
        <v>226</v>
      </c>
      <c r="I462" s="24" t="s">
        <v>225</v>
      </c>
      <c r="J462" s="23" t="s">
        <v>226</v>
      </c>
      <c r="K462" s="24" t="s">
        <v>225</v>
      </c>
      <c r="L462" s="23"/>
      <c r="M462" s="26" t="s">
        <v>408</v>
      </c>
      <c r="N462" s="24">
        <v>2019</v>
      </c>
    </row>
    <row r="463" spans="1:14">
      <c r="A463" s="24">
        <v>2019</v>
      </c>
      <c r="B463" s="24" t="s">
        <v>78</v>
      </c>
      <c r="C463" s="24" t="s">
        <v>79</v>
      </c>
      <c r="D463" s="24" t="s">
        <v>327</v>
      </c>
      <c r="E463" s="23">
        <v>12</v>
      </c>
      <c r="F463" s="24" t="s">
        <v>211</v>
      </c>
      <c r="G463" s="24" t="s">
        <v>225</v>
      </c>
      <c r="H463" s="23" t="s">
        <v>226</v>
      </c>
      <c r="I463" s="24" t="s">
        <v>226</v>
      </c>
      <c r="J463" s="23" t="s">
        <v>226</v>
      </c>
      <c r="K463" s="24" t="s">
        <v>226</v>
      </c>
      <c r="L463" s="23"/>
      <c r="M463" s="26" t="s">
        <v>408</v>
      </c>
      <c r="N463" s="24">
        <v>2019</v>
      </c>
    </row>
    <row r="464" spans="1:14">
      <c r="A464" s="24">
        <v>2019</v>
      </c>
      <c r="B464" s="24" t="s">
        <v>78</v>
      </c>
      <c r="C464" s="24" t="s">
        <v>681</v>
      </c>
      <c r="D464" s="24" t="s">
        <v>278</v>
      </c>
      <c r="E464" s="23">
        <v>2</v>
      </c>
      <c r="F464" s="24" t="s">
        <v>207</v>
      </c>
      <c r="G464" s="24" t="s">
        <v>225</v>
      </c>
      <c r="H464" s="23" t="s">
        <v>226</v>
      </c>
      <c r="I464" s="24" t="s">
        <v>226</v>
      </c>
      <c r="J464" s="23" t="s">
        <v>226</v>
      </c>
      <c r="K464" s="24" t="s">
        <v>226</v>
      </c>
      <c r="L464" s="23"/>
      <c r="M464" s="26" t="s">
        <v>408</v>
      </c>
      <c r="N464" s="24">
        <v>2019</v>
      </c>
    </row>
    <row r="465" spans="1:14">
      <c r="A465" s="24">
        <v>2019</v>
      </c>
      <c r="B465" s="24" t="s">
        <v>136</v>
      </c>
      <c r="C465" s="24" t="s">
        <v>168</v>
      </c>
      <c r="D465" s="24" t="s">
        <v>170</v>
      </c>
      <c r="E465" s="23">
        <v>1</v>
      </c>
      <c r="F465" s="24" t="s">
        <v>211</v>
      </c>
      <c r="G465" s="24" t="s">
        <v>225</v>
      </c>
      <c r="H465" s="23" t="s">
        <v>226</v>
      </c>
      <c r="I465" s="24" t="s">
        <v>225</v>
      </c>
      <c r="J465" s="23" t="s">
        <v>226</v>
      </c>
      <c r="K465" s="24" t="s">
        <v>226</v>
      </c>
      <c r="L465" s="23"/>
      <c r="M465" s="26" t="s">
        <v>408</v>
      </c>
      <c r="N465" s="24">
        <v>2019</v>
      </c>
    </row>
    <row r="466" spans="1:14">
      <c r="A466" s="24">
        <v>2019</v>
      </c>
      <c r="B466" s="24" t="s">
        <v>78</v>
      </c>
      <c r="C466" s="24" t="s">
        <v>681</v>
      </c>
      <c r="D466" s="24" t="s">
        <v>269</v>
      </c>
      <c r="E466" s="23">
        <v>4</v>
      </c>
      <c r="F466" s="24" t="s">
        <v>207</v>
      </c>
      <c r="G466" s="24" t="s">
        <v>225</v>
      </c>
      <c r="H466" s="23" t="s">
        <v>226</v>
      </c>
      <c r="I466" s="24" t="s">
        <v>225</v>
      </c>
      <c r="J466" s="23" t="s">
        <v>226</v>
      </c>
      <c r="K466" s="24" t="s">
        <v>226</v>
      </c>
      <c r="L466" s="23"/>
      <c r="M466" s="26" t="s">
        <v>408</v>
      </c>
      <c r="N466" s="24">
        <v>2019</v>
      </c>
    </row>
    <row r="467" spans="1:14">
      <c r="A467" s="24">
        <v>2019</v>
      </c>
      <c r="B467" s="24" t="s">
        <v>4</v>
      </c>
      <c r="C467" s="24" t="s">
        <v>203</v>
      </c>
      <c r="D467" s="24" t="s">
        <v>42</v>
      </c>
      <c r="E467" s="23">
        <v>5</v>
      </c>
      <c r="F467" s="24" t="s">
        <v>211</v>
      </c>
      <c r="G467" s="24" t="s">
        <v>225</v>
      </c>
      <c r="H467" s="23" t="s">
        <v>226</v>
      </c>
      <c r="I467" s="24" t="s">
        <v>226</v>
      </c>
      <c r="J467" s="23" t="s">
        <v>226</v>
      </c>
      <c r="K467" s="24" t="s">
        <v>226</v>
      </c>
      <c r="L467" s="23"/>
      <c r="M467" s="26" t="s">
        <v>408</v>
      </c>
      <c r="N467" s="24">
        <v>2019</v>
      </c>
    </row>
    <row r="468" spans="1:14">
      <c r="A468" s="24">
        <v>2019</v>
      </c>
      <c r="B468" s="24" t="s">
        <v>78</v>
      </c>
      <c r="C468" s="24" t="s">
        <v>88</v>
      </c>
      <c r="D468" s="24" t="s">
        <v>89</v>
      </c>
      <c r="E468" s="23">
        <v>11</v>
      </c>
      <c r="F468" s="24" t="s">
        <v>211</v>
      </c>
      <c r="G468" s="24" t="s">
        <v>225</v>
      </c>
      <c r="H468" s="23" t="s">
        <v>226</v>
      </c>
      <c r="I468" s="24" t="s">
        <v>226</v>
      </c>
      <c r="J468" s="23" t="s">
        <v>226</v>
      </c>
      <c r="K468" s="24" t="s">
        <v>226</v>
      </c>
      <c r="L468" s="23"/>
      <c r="M468" s="26" t="s">
        <v>408</v>
      </c>
      <c r="N468" s="24">
        <v>2019</v>
      </c>
    </row>
    <row r="469" spans="1:14">
      <c r="A469" s="24">
        <v>2019</v>
      </c>
      <c r="B469" s="24" t="s">
        <v>136</v>
      </c>
      <c r="C469" s="24" t="s">
        <v>137</v>
      </c>
      <c r="D469" s="24" t="s">
        <v>144</v>
      </c>
      <c r="E469" s="23">
        <v>18</v>
      </c>
      <c r="F469" s="24" t="s">
        <v>211</v>
      </c>
      <c r="G469" s="24" t="s">
        <v>225</v>
      </c>
      <c r="H469" s="23" t="s">
        <v>226</v>
      </c>
      <c r="I469" s="24" t="s">
        <v>226</v>
      </c>
      <c r="J469" s="23" t="s">
        <v>226</v>
      </c>
      <c r="K469" s="24" t="s">
        <v>226</v>
      </c>
      <c r="L469" s="23"/>
      <c r="M469" s="26" t="s">
        <v>408</v>
      </c>
      <c r="N469" s="24">
        <v>2019</v>
      </c>
    </row>
    <row r="470" spans="1:14">
      <c r="A470" s="24">
        <v>2019</v>
      </c>
      <c r="B470" s="24" t="s">
        <v>78</v>
      </c>
      <c r="C470" s="24" t="s">
        <v>79</v>
      </c>
      <c r="D470" s="24" t="s">
        <v>52</v>
      </c>
      <c r="E470" s="23">
        <v>5</v>
      </c>
      <c r="F470" s="24" t="s">
        <v>211</v>
      </c>
      <c r="G470" s="24" t="s">
        <v>225</v>
      </c>
      <c r="H470" s="23" t="s">
        <v>226</v>
      </c>
      <c r="I470" s="24" t="s">
        <v>226</v>
      </c>
      <c r="J470" s="23" t="s">
        <v>226</v>
      </c>
      <c r="K470" s="24" t="s">
        <v>226</v>
      </c>
      <c r="L470" s="23"/>
      <c r="M470" s="26" t="s">
        <v>408</v>
      </c>
      <c r="N470" s="24">
        <v>2019</v>
      </c>
    </row>
    <row r="471" spans="1:14">
      <c r="A471" s="24">
        <v>2019</v>
      </c>
      <c r="B471" s="24" t="s">
        <v>4</v>
      </c>
      <c r="C471" s="24" t="s">
        <v>23</v>
      </c>
      <c r="D471" s="24" t="s">
        <v>27</v>
      </c>
      <c r="E471" s="23">
        <v>4</v>
      </c>
      <c r="F471" s="24" t="s">
        <v>207</v>
      </c>
      <c r="G471" s="24" t="s">
        <v>225</v>
      </c>
      <c r="H471" s="23" t="s">
        <v>226</v>
      </c>
      <c r="I471" s="24" t="s">
        <v>225</v>
      </c>
      <c r="J471" s="23" t="s">
        <v>226</v>
      </c>
      <c r="K471" s="24" t="s">
        <v>226</v>
      </c>
      <c r="L471" s="23"/>
      <c r="M471" s="26" t="s">
        <v>408</v>
      </c>
      <c r="N471" s="24">
        <v>2019</v>
      </c>
    </row>
    <row r="472" spans="1:14">
      <c r="A472" s="24">
        <v>2019</v>
      </c>
      <c r="B472" s="24" t="s">
        <v>136</v>
      </c>
      <c r="C472" s="24" t="s">
        <v>176</v>
      </c>
      <c r="D472" s="24" t="s">
        <v>409</v>
      </c>
      <c r="E472" s="23">
        <v>8</v>
      </c>
      <c r="F472" s="24" t="s">
        <v>207</v>
      </c>
      <c r="G472" s="24" t="s">
        <v>225</v>
      </c>
      <c r="H472" s="23" t="s">
        <v>226</v>
      </c>
      <c r="I472" s="24" t="s">
        <v>226</v>
      </c>
      <c r="J472" s="23" t="s">
        <v>226</v>
      </c>
      <c r="K472" s="24" t="s">
        <v>226</v>
      </c>
      <c r="L472" s="23"/>
      <c r="M472" s="26" t="s">
        <v>410</v>
      </c>
      <c r="N472" s="24">
        <v>2019</v>
      </c>
    </row>
    <row r="473" spans="1:14">
      <c r="A473" s="24">
        <v>2019</v>
      </c>
      <c r="B473" s="24" t="s">
        <v>136</v>
      </c>
      <c r="C473" s="24" t="s">
        <v>176</v>
      </c>
      <c r="D473" s="24" t="s">
        <v>177</v>
      </c>
      <c r="E473" s="23">
        <v>2</v>
      </c>
      <c r="F473" s="24" t="s">
        <v>207</v>
      </c>
      <c r="G473" s="24" t="s">
        <v>225</v>
      </c>
      <c r="H473" s="23" t="s">
        <v>226</v>
      </c>
      <c r="I473" s="24" t="s">
        <v>226</v>
      </c>
      <c r="J473" s="23" t="s">
        <v>226</v>
      </c>
      <c r="K473" s="24" t="s">
        <v>226</v>
      </c>
      <c r="L473" s="23"/>
      <c r="M473" s="26" t="s">
        <v>410</v>
      </c>
      <c r="N473" s="24">
        <v>2019</v>
      </c>
    </row>
    <row r="474" spans="1:14">
      <c r="A474" s="24">
        <v>2019</v>
      </c>
      <c r="B474" s="24" t="s">
        <v>78</v>
      </c>
      <c r="C474" s="24" t="s">
        <v>79</v>
      </c>
      <c r="D474" s="24" t="s">
        <v>401</v>
      </c>
      <c r="E474" s="23"/>
      <c r="F474" s="24" t="s">
        <v>207</v>
      </c>
      <c r="G474" s="24" t="s">
        <v>225</v>
      </c>
      <c r="H474" s="23" t="s">
        <v>225</v>
      </c>
      <c r="I474" s="24" t="s">
        <v>225</v>
      </c>
      <c r="J474" s="23" t="s">
        <v>226</v>
      </c>
      <c r="K474" s="24" t="s">
        <v>226</v>
      </c>
      <c r="L474" s="23"/>
      <c r="M474" s="26" t="s">
        <v>410</v>
      </c>
      <c r="N474" s="24">
        <v>2019</v>
      </c>
    </row>
    <row r="475" spans="1:14">
      <c r="A475" s="24">
        <v>2019</v>
      </c>
      <c r="B475" s="24" t="s">
        <v>136</v>
      </c>
      <c r="C475" s="24" t="s">
        <v>176</v>
      </c>
      <c r="D475" s="24" t="s">
        <v>181</v>
      </c>
      <c r="E475" s="23">
        <v>3</v>
      </c>
      <c r="F475" s="24" t="s">
        <v>211</v>
      </c>
      <c r="G475" s="24" t="s">
        <v>225</v>
      </c>
      <c r="H475" s="23" t="s">
        <v>226</v>
      </c>
      <c r="I475" s="24" t="s">
        <v>226</v>
      </c>
      <c r="J475" s="23" t="s">
        <v>226</v>
      </c>
      <c r="K475" s="24" t="s">
        <v>226</v>
      </c>
      <c r="L475" s="23"/>
      <c r="M475" s="26" t="s">
        <v>411</v>
      </c>
      <c r="N475" s="24">
        <v>2019</v>
      </c>
    </row>
    <row r="476" spans="1:14">
      <c r="A476" s="24">
        <v>2019</v>
      </c>
      <c r="B476" s="24" t="s">
        <v>78</v>
      </c>
      <c r="C476" s="24" t="s">
        <v>95</v>
      </c>
      <c r="D476" s="24" t="s">
        <v>98</v>
      </c>
      <c r="E476" s="23"/>
      <c r="F476" s="24" t="s">
        <v>207</v>
      </c>
      <c r="G476" s="24" t="s">
        <v>225</v>
      </c>
      <c r="H476" s="23" t="s">
        <v>225</v>
      </c>
      <c r="I476" s="24" t="s">
        <v>225</v>
      </c>
      <c r="J476" s="23" t="s">
        <v>226</v>
      </c>
      <c r="K476" s="24" t="s">
        <v>226</v>
      </c>
      <c r="L476" s="23"/>
      <c r="M476" s="26" t="s">
        <v>411</v>
      </c>
      <c r="N476" s="24">
        <v>2019</v>
      </c>
    </row>
    <row r="477" spans="1:14">
      <c r="A477" s="24">
        <v>2019</v>
      </c>
      <c r="B477" s="24" t="s">
        <v>136</v>
      </c>
      <c r="C477" s="24" t="s">
        <v>176</v>
      </c>
      <c r="D477" s="24" t="s">
        <v>181</v>
      </c>
      <c r="E477" s="23">
        <v>1</v>
      </c>
      <c r="F477" s="24" t="s">
        <v>211</v>
      </c>
      <c r="G477" s="24" t="s">
        <v>225</v>
      </c>
      <c r="H477" s="23" t="s">
        <v>226</v>
      </c>
      <c r="I477" s="24" t="s">
        <v>226</v>
      </c>
      <c r="J477" s="23" t="s">
        <v>226</v>
      </c>
      <c r="K477" s="24" t="s">
        <v>225</v>
      </c>
      <c r="L477" s="23"/>
      <c r="M477" s="26" t="s">
        <v>411</v>
      </c>
      <c r="N477" s="24">
        <v>2019</v>
      </c>
    </row>
    <row r="478" spans="1:14">
      <c r="A478" s="24">
        <v>2019</v>
      </c>
      <c r="B478" s="24" t="s">
        <v>78</v>
      </c>
      <c r="C478" s="24" t="s">
        <v>122</v>
      </c>
      <c r="D478" s="24" t="s">
        <v>128</v>
      </c>
      <c r="E478" s="23">
        <v>1</v>
      </c>
      <c r="F478" s="24" t="s">
        <v>207</v>
      </c>
      <c r="G478" s="23" t="s">
        <v>226</v>
      </c>
      <c r="H478" s="23" t="s">
        <v>226</v>
      </c>
      <c r="I478" s="24" t="s">
        <v>225</v>
      </c>
      <c r="J478" s="23" t="s">
        <v>226</v>
      </c>
      <c r="K478" s="24" t="s">
        <v>225</v>
      </c>
      <c r="L478" s="23"/>
      <c r="M478" s="26" t="s">
        <v>412</v>
      </c>
      <c r="N478" s="24">
        <v>2019</v>
      </c>
    </row>
    <row r="479" spans="1:14">
      <c r="A479" s="24">
        <v>2019</v>
      </c>
      <c r="B479" s="24" t="s">
        <v>136</v>
      </c>
      <c r="C479" s="24" t="s">
        <v>189</v>
      </c>
      <c r="D479" s="24" t="s">
        <v>298</v>
      </c>
      <c r="E479" s="23">
        <v>1</v>
      </c>
      <c r="F479" s="24" t="s">
        <v>207</v>
      </c>
      <c r="G479" s="24" t="s">
        <v>225</v>
      </c>
      <c r="H479" s="23" t="s">
        <v>226</v>
      </c>
      <c r="I479" s="24" t="s">
        <v>225</v>
      </c>
      <c r="J479" s="23" t="s">
        <v>226</v>
      </c>
      <c r="K479" s="24" t="s">
        <v>225</v>
      </c>
      <c r="L479" s="23"/>
      <c r="M479" s="26" t="s">
        <v>412</v>
      </c>
      <c r="N479" s="24">
        <v>2019</v>
      </c>
    </row>
    <row r="480" spans="1:14">
      <c r="A480" s="24">
        <v>2019</v>
      </c>
      <c r="B480" s="24" t="s">
        <v>78</v>
      </c>
      <c r="C480" s="24" t="s">
        <v>79</v>
      </c>
      <c r="D480" s="24" t="s">
        <v>327</v>
      </c>
      <c r="E480" s="23">
        <v>9</v>
      </c>
      <c r="F480" s="24" t="s">
        <v>207</v>
      </c>
      <c r="G480" s="24" t="s">
        <v>225</v>
      </c>
      <c r="H480" s="23" t="s">
        <v>226</v>
      </c>
      <c r="I480" s="24" t="s">
        <v>226</v>
      </c>
      <c r="J480" s="23" t="s">
        <v>226</v>
      </c>
      <c r="K480" s="24" t="s">
        <v>226</v>
      </c>
      <c r="L480" s="23"/>
      <c r="M480" s="26" t="s">
        <v>412</v>
      </c>
      <c r="N480" s="24">
        <v>2019</v>
      </c>
    </row>
    <row r="481" spans="1:46">
      <c r="A481" s="24">
        <v>2019</v>
      </c>
      <c r="B481" s="24" t="s">
        <v>78</v>
      </c>
      <c r="C481" s="24" t="s">
        <v>681</v>
      </c>
      <c r="D481" s="24" t="s">
        <v>198</v>
      </c>
      <c r="E481" s="23">
        <v>2</v>
      </c>
      <c r="F481" s="24" t="s">
        <v>207</v>
      </c>
      <c r="G481" s="24" t="s">
        <v>225</v>
      </c>
      <c r="H481" s="23" t="s">
        <v>226</v>
      </c>
      <c r="I481" s="24" t="s">
        <v>226</v>
      </c>
      <c r="J481" s="23" t="s">
        <v>226</v>
      </c>
      <c r="K481" s="24" t="s">
        <v>226</v>
      </c>
      <c r="L481" s="23"/>
      <c r="M481" s="26" t="s">
        <v>412</v>
      </c>
      <c r="N481" s="24">
        <v>2019</v>
      </c>
    </row>
    <row r="482" spans="1:46">
      <c r="A482" s="24">
        <v>2019</v>
      </c>
      <c r="B482" s="24" t="s">
        <v>78</v>
      </c>
      <c r="C482" s="24" t="s">
        <v>79</v>
      </c>
      <c r="D482" s="24" t="s">
        <v>341</v>
      </c>
      <c r="E482" s="23">
        <v>3</v>
      </c>
      <c r="F482" s="24" t="s">
        <v>211</v>
      </c>
      <c r="G482" s="24" t="s">
        <v>225</v>
      </c>
      <c r="H482" s="23" t="s">
        <v>226</v>
      </c>
      <c r="I482" s="24" t="s">
        <v>225</v>
      </c>
      <c r="J482" s="23" t="s">
        <v>226</v>
      </c>
      <c r="K482" s="24" t="s">
        <v>226</v>
      </c>
      <c r="L482" s="23"/>
      <c r="M482" s="26" t="s">
        <v>413</v>
      </c>
      <c r="N482" s="24">
        <v>2019</v>
      </c>
    </row>
    <row r="483" spans="1:46">
      <c r="A483" s="24">
        <v>2019</v>
      </c>
      <c r="B483" s="24" t="s">
        <v>4</v>
      </c>
      <c r="C483" s="24" t="s">
        <v>5</v>
      </c>
      <c r="D483" s="24" t="s">
        <v>10</v>
      </c>
      <c r="E483" s="23">
        <v>9</v>
      </c>
      <c r="F483" s="24" t="s">
        <v>207</v>
      </c>
      <c r="G483" s="24" t="s">
        <v>225</v>
      </c>
      <c r="H483" s="23" t="s">
        <v>226</v>
      </c>
      <c r="I483" s="24" t="s">
        <v>225</v>
      </c>
      <c r="J483" s="23" t="s">
        <v>226</v>
      </c>
      <c r="K483" s="24" t="s">
        <v>226</v>
      </c>
      <c r="L483" s="23"/>
      <c r="M483" s="26" t="s">
        <v>413</v>
      </c>
      <c r="N483" s="24">
        <v>2019</v>
      </c>
    </row>
    <row r="484" spans="1:46">
      <c r="A484" s="24">
        <v>2019</v>
      </c>
      <c r="B484" s="24" t="s">
        <v>78</v>
      </c>
      <c r="C484" s="24" t="s">
        <v>119</v>
      </c>
      <c r="D484" s="24" t="s">
        <v>121</v>
      </c>
      <c r="E484" s="23">
        <v>1</v>
      </c>
      <c r="F484" s="24" t="s">
        <v>207</v>
      </c>
      <c r="G484" s="23" t="s">
        <v>226</v>
      </c>
      <c r="H484" s="23" t="s">
        <v>226</v>
      </c>
      <c r="I484" s="24" t="s">
        <v>225</v>
      </c>
      <c r="J484" s="23" t="s">
        <v>226</v>
      </c>
      <c r="K484" s="24" t="s">
        <v>225</v>
      </c>
      <c r="L484" s="23"/>
      <c r="M484" s="26" t="s">
        <v>414</v>
      </c>
      <c r="N484" s="24">
        <v>2019</v>
      </c>
    </row>
    <row r="485" spans="1:46">
      <c r="A485" s="24">
        <v>2019</v>
      </c>
      <c r="B485" s="24" t="s">
        <v>136</v>
      </c>
      <c r="C485" s="24" t="s">
        <v>176</v>
      </c>
      <c r="D485" s="24" t="s">
        <v>186</v>
      </c>
      <c r="E485" s="23">
        <v>1</v>
      </c>
      <c r="F485" s="24" t="s">
        <v>211</v>
      </c>
      <c r="G485" s="24" t="s">
        <v>225</v>
      </c>
      <c r="H485" s="23" t="s">
        <v>225</v>
      </c>
      <c r="I485" s="24" t="s">
        <v>225</v>
      </c>
      <c r="J485" s="23" t="s">
        <v>226</v>
      </c>
      <c r="K485" s="24" t="s">
        <v>226</v>
      </c>
      <c r="L485" s="23"/>
      <c r="M485" s="26" t="s">
        <v>414</v>
      </c>
      <c r="N485" s="24">
        <v>2019</v>
      </c>
    </row>
    <row r="486" spans="1:46">
      <c r="A486" s="24">
        <v>2019</v>
      </c>
      <c r="B486" s="24" t="s">
        <v>136</v>
      </c>
      <c r="C486" s="24" t="s">
        <v>189</v>
      </c>
      <c r="D486" s="24" t="s">
        <v>258</v>
      </c>
      <c r="E486" s="23">
        <v>16</v>
      </c>
      <c r="F486" s="24" t="s">
        <v>207</v>
      </c>
      <c r="G486" s="24" t="s">
        <v>225</v>
      </c>
      <c r="H486" s="23" t="s">
        <v>226</v>
      </c>
      <c r="I486" s="24" t="s">
        <v>225</v>
      </c>
      <c r="J486" s="23" t="s">
        <v>226</v>
      </c>
      <c r="K486" s="24" t="s">
        <v>225</v>
      </c>
      <c r="L486" s="23"/>
      <c r="M486" s="25">
        <v>43836</v>
      </c>
      <c r="N486" s="24">
        <v>2020</v>
      </c>
    </row>
    <row r="487" spans="1:46">
      <c r="A487" s="24">
        <v>2019</v>
      </c>
      <c r="B487" s="24" t="s">
        <v>136</v>
      </c>
      <c r="C487" s="24" t="s">
        <v>171</v>
      </c>
      <c r="D487" s="24" t="s">
        <v>415</v>
      </c>
      <c r="E487" s="23">
        <v>1</v>
      </c>
      <c r="F487" s="24" t="s">
        <v>211</v>
      </c>
      <c r="G487" s="23" t="s">
        <v>226</v>
      </c>
      <c r="H487" s="23" t="s">
        <v>226</v>
      </c>
      <c r="I487" s="24" t="s">
        <v>226</v>
      </c>
      <c r="J487" s="23" t="s">
        <v>226</v>
      </c>
      <c r="K487" s="24" t="s">
        <v>225</v>
      </c>
      <c r="L487" s="23"/>
      <c r="M487" s="25">
        <v>43836</v>
      </c>
      <c r="N487" s="24">
        <v>2020</v>
      </c>
    </row>
    <row r="488" spans="1:46">
      <c r="A488" s="24">
        <v>2019</v>
      </c>
      <c r="B488" s="24" t="s">
        <v>136</v>
      </c>
      <c r="C488" s="24" t="s">
        <v>189</v>
      </c>
      <c r="D488" s="24" t="s">
        <v>195</v>
      </c>
      <c r="E488" s="23"/>
      <c r="F488" s="24" t="s">
        <v>211</v>
      </c>
      <c r="G488" s="24" t="s">
        <v>225</v>
      </c>
      <c r="H488" s="23" t="s">
        <v>225</v>
      </c>
      <c r="I488" s="24" t="s">
        <v>226</v>
      </c>
      <c r="J488" s="23" t="s">
        <v>226</v>
      </c>
      <c r="K488" s="24" t="s">
        <v>225</v>
      </c>
      <c r="L488" s="23"/>
      <c r="M488" s="25">
        <v>43836</v>
      </c>
      <c r="N488" s="24">
        <v>2020</v>
      </c>
    </row>
    <row r="489" spans="1:46">
      <c r="A489" s="24">
        <v>2019</v>
      </c>
      <c r="B489" s="24" t="s">
        <v>4</v>
      </c>
      <c r="C489" s="24" t="s">
        <v>23</v>
      </c>
      <c r="D489" s="24" t="s">
        <v>26</v>
      </c>
      <c r="E489" s="23"/>
      <c r="F489" s="24" t="s">
        <v>211</v>
      </c>
      <c r="G489" s="24" t="s">
        <v>225</v>
      </c>
      <c r="H489" s="23" t="s">
        <v>225</v>
      </c>
      <c r="I489" s="24" t="s">
        <v>225</v>
      </c>
      <c r="J489" s="23" t="s">
        <v>226</v>
      </c>
      <c r="K489" s="24" t="s">
        <v>225</v>
      </c>
      <c r="L489" s="23"/>
      <c r="M489" s="25">
        <v>43837</v>
      </c>
      <c r="N489" s="24">
        <v>2020</v>
      </c>
      <c r="U489" s="20"/>
      <c r="W489"/>
      <c r="X489" s="20"/>
      <c r="Z489"/>
      <c r="AC489" s="20"/>
      <c r="AE489"/>
      <c r="AI489" s="12"/>
      <c r="AJ489"/>
      <c r="AK489"/>
      <c r="AL489" s="12"/>
      <c r="AM489" s="12"/>
      <c r="AN489" s="12"/>
      <c r="AO489"/>
      <c r="AP489"/>
      <c r="AT489"/>
    </row>
    <row r="490" spans="1:46">
      <c r="A490" s="24">
        <v>2019</v>
      </c>
      <c r="B490" s="24" t="s">
        <v>78</v>
      </c>
      <c r="C490" s="24" t="s">
        <v>122</v>
      </c>
      <c r="D490" s="27" t="s">
        <v>125</v>
      </c>
      <c r="E490" s="23">
        <v>1</v>
      </c>
      <c r="F490" s="24" t="s">
        <v>207</v>
      </c>
      <c r="G490" s="23" t="s">
        <v>226</v>
      </c>
      <c r="H490" s="23" t="s">
        <v>226</v>
      </c>
      <c r="I490" s="24" t="s">
        <v>225</v>
      </c>
      <c r="J490" s="23" t="s">
        <v>226</v>
      </c>
      <c r="K490" s="24" t="s">
        <v>225</v>
      </c>
      <c r="L490" s="23"/>
      <c r="M490" s="26" t="s">
        <v>416</v>
      </c>
      <c r="N490" s="24">
        <v>2020</v>
      </c>
      <c r="U490" s="20"/>
      <c r="W490"/>
      <c r="X490" s="20"/>
      <c r="Z490"/>
      <c r="AC490" s="20"/>
      <c r="AE490"/>
      <c r="AI490" s="12"/>
      <c r="AJ490"/>
      <c r="AK490"/>
      <c r="AL490" s="12"/>
      <c r="AM490" s="12"/>
      <c r="AN490" s="12"/>
      <c r="AO490"/>
      <c r="AP490"/>
      <c r="AT490"/>
    </row>
    <row r="491" spans="1:46">
      <c r="A491" s="24">
        <v>2019</v>
      </c>
      <c r="B491" s="24" t="s">
        <v>136</v>
      </c>
      <c r="C491" s="24" t="s">
        <v>682</v>
      </c>
      <c r="D491" s="24" t="s">
        <v>167</v>
      </c>
      <c r="E491" s="23">
        <v>2</v>
      </c>
      <c r="F491" s="24" t="s">
        <v>211</v>
      </c>
      <c r="G491" s="23" t="s">
        <v>226</v>
      </c>
      <c r="H491" s="23" t="s">
        <v>226</v>
      </c>
      <c r="I491" s="24" t="s">
        <v>225</v>
      </c>
      <c r="J491" s="23" t="s">
        <v>226</v>
      </c>
      <c r="K491" s="24" t="s">
        <v>226</v>
      </c>
      <c r="L491" s="23"/>
      <c r="M491" s="26" t="s">
        <v>416</v>
      </c>
      <c r="N491" s="24">
        <v>2020</v>
      </c>
      <c r="U491" s="20"/>
      <c r="W491"/>
      <c r="X491" s="20"/>
      <c r="Z491"/>
      <c r="AC491" s="20"/>
      <c r="AE491"/>
      <c r="AI491" s="12"/>
      <c r="AJ491"/>
      <c r="AK491"/>
      <c r="AL491" s="12"/>
      <c r="AM491" s="12"/>
      <c r="AN491" s="12"/>
      <c r="AO491"/>
      <c r="AP491"/>
      <c r="AT491"/>
    </row>
    <row r="492" spans="1:46">
      <c r="A492" s="24">
        <v>2019</v>
      </c>
      <c r="B492" s="24" t="s">
        <v>78</v>
      </c>
      <c r="C492" s="24" t="s">
        <v>119</v>
      </c>
      <c r="D492" s="24" t="s">
        <v>121</v>
      </c>
      <c r="E492" s="23"/>
      <c r="F492" s="24" t="s">
        <v>207</v>
      </c>
      <c r="G492" s="23" t="s">
        <v>226</v>
      </c>
      <c r="H492" s="23" t="s">
        <v>225</v>
      </c>
      <c r="I492" s="24" t="s">
        <v>225</v>
      </c>
      <c r="J492" s="23" t="s">
        <v>226</v>
      </c>
      <c r="K492" s="24" t="s">
        <v>225</v>
      </c>
      <c r="L492" s="23"/>
      <c r="M492" s="26" t="s">
        <v>417</v>
      </c>
      <c r="N492" s="24">
        <v>2020</v>
      </c>
      <c r="U492" s="20"/>
      <c r="W492"/>
      <c r="X492" s="20"/>
      <c r="Z492"/>
      <c r="AC492" s="20"/>
      <c r="AE492"/>
      <c r="AI492" s="12"/>
      <c r="AJ492"/>
      <c r="AK492"/>
      <c r="AL492" s="12"/>
      <c r="AM492" s="12"/>
      <c r="AN492" s="12"/>
      <c r="AO492"/>
      <c r="AP492"/>
      <c r="AT492"/>
    </row>
    <row r="493" spans="1:46">
      <c r="A493" s="24">
        <v>2019</v>
      </c>
      <c r="B493" s="24" t="s">
        <v>136</v>
      </c>
      <c r="C493" s="24" t="s">
        <v>137</v>
      </c>
      <c r="D493" s="24" t="s">
        <v>140</v>
      </c>
      <c r="E493" s="23"/>
      <c r="F493" s="24" t="s">
        <v>211</v>
      </c>
      <c r="G493" s="24" t="s">
        <v>225</v>
      </c>
      <c r="H493" s="23" t="s">
        <v>225</v>
      </c>
      <c r="I493" s="24" t="s">
        <v>225</v>
      </c>
      <c r="J493" s="23" t="s">
        <v>226</v>
      </c>
      <c r="K493" s="24" t="s">
        <v>226</v>
      </c>
      <c r="L493" s="23"/>
      <c r="M493" s="26" t="s">
        <v>417</v>
      </c>
      <c r="N493" s="24">
        <v>2020</v>
      </c>
      <c r="U493" s="20"/>
      <c r="W493"/>
      <c r="X493" s="20"/>
      <c r="Z493"/>
      <c r="AC493" s="20"/>
      <c r="AE493"/>
      <c r="AI493" s="12"/>
      <c r="AJ493"/>
      <c r="AK493"/>
      <c r="AL493" s="12"/>
      <c r="AM493" s="12"/>
      <c r="AN493" s="12"/>
      <c r="AO493"/>
      <c r="AP493"/>
      <c r="AT493"/>
    </row>
    <row r="494" spans="1:46">
      <c r="A494" s="24">
        <v>2019</v>
      </c>
      <c r="B494" s="24" t="s">
        <v>4</v>
      </c>
      <c r="C494" s="24" t="s">
        <v>23</v>
      </c>
      <c r="D494" s="24" t="s">
        <v>27</v>
      </c>
      <c r="E494" s="23">
        <v>4</v>
      </c>
      <c r="F494" s="24" t="s">
        <v>207</v>
      </c>
      <c r="G494" s="24" t="s">
        <v>225</v>
      </c>
      <c r="H494" s="23" t="s">
        <v>226</v>
      </c>
      <c r="I494" s="24" t="s">
        <v>225</v>
      </c>
      <c r="J494" s="23" t="s">
        <v>226</v>
      </c>
      <c r="K494" s="24" t="s">
        <v>226</v>
      </c>
      <c r="L494" s="23"/>
      <c r="M494" s="26" t="s">
        <v>417</v>
      </c>
      <c r="N494" s="24">
        <v>2020</v>
      </c>
      <c r="U494" s="20"/>
      <c r="W494"/>
      <c r="X494" s="20"/>
      <c r="Z494"/>
      <c r="AC494" s="20"/>
      <c r="AE494"/>
      <c r="AI494" s="12"/>
      <c r="AJ494"/>
      <c r="AK494"/>
      <c r="AL494" s="12"/>
      <c r="AM494" s="12"/>
      <c r="AN494" s="12"/>
      <c r="AO494"/>
      <c r="AP494"/>
      <c r="AT494"/>
    </row>
    <row r="495" spans="1:46">
      <c r="A495" s="24">
        <v>2019</v>
      </c>
      <c r="B495" s="24" t="s">
        <v>4</v>
      </c>
      <c r="C495" s="24" t="s">
        <v>5</v>
      </c>
      <c r="D495" s="24" t="s">
        <v>7</v>
      </c>
      <c r="E495" s="23">
        <v>20</v>
      </c>
      <c r="F495" s="24" t="s">
        <v>207</v>
      </c>
      <c r="G495" s="23" t="s">
        <v>226</v>
      </c>
      <c r="H495" s="23" t="s">
        <v>226</v>
      </c>
      <c r="I495" s="24" t="s">
        <v>226</v>
      </c>
      <c r="J495" s="23" t="s">
        <v>226</v>
      </c>
      <c r="K495" s="24" t="s">
        <v>226</v>
      </c>
      <c r="L495" s="23"/>
      <c r="M495" s="26" t="s">
        <v>417</v>
      </c>
      <c r="N495" s="24">
        <v>2020</v>
      </c>
      <c r="U495" s="20"/>
      <c r="W495"/>
      <c r="X495" s="20"/>
      <c r="Z495"/>
      <c r="AC495" s="20"/>
      <c r="AE495"/>
      <c r="AI495" s="12"/>
      <c r="AJ495"/>
      <c r="AK495"/>
      <c r="AL495" s="12"/>
      <c r="AM495" s="12"/>
      <c r="AN495" s="12"/>
      <c r="AO495"/>
      <c r="AP495"/>
      <c r="AT495"/>
    </row>
    <row r="496" spans="1:46">
      <c r="A496" s="24">
        <v>2019</v>
      </c>
      <c r="B496" s="24" t="s">
        <v>78</v>
      </c>
      <c r="C496" s="24" t="s">
        <v>681</v>
      </c>
      <c r="D496" s="24" t="s">
        <v>131</v>
      </c>
      <c r="E496" s="23"/>
      <c r="F496" s="24" t="s">
        <v>207</v>
      </c>
      <c r="G496" s="24" t="s">
        <v>225</v>
      </c>
      <c r="H496" s="23" t="s">
        <v>225</v>
      </c>
      <c r="I496" s="24" t="s">
        <v>226</v>
      </c>
      <c r="J496" s="23" t="s">
        <v>226</v>
      </c>
      <c r="K496" s="24" t="s">
        <v>225</v>
      </c>
      <c r="L496" s="23"/>
      <c r="M496" s="26" t="s">
        <v>417</v>
      </c>
      <c r="N496" s="24">
        <v>2020</v>
      </c>
      <c r="U496" s="20"/>
      <c r="W496"/>
      <c r="X496" s="20"/>
      <c r="Z496"/>
      <c r="AC496" s="20"/>
      <c r="AE496"/>
      <c r="AI496" s="12"/>
      <c r="AJ496"/>
      <c r="AK496"/>
      <c r="AL496" s="12"/>
      <c r="AM496" s="12"/>
      <c r="AN496" s="12"/>
      <c r="AO496"/>
      <c r="AP496"/>
      <c r="AT496"/>
    </row>
    <row r="497" spans="1:46">
      <c r="A497" s="24">
        <v>2019</v>
      </c>
      <c r="B497" s="24" t="s">
        <v>4</v>
      </c>
      <c r="C497" s="24" t="s">
        <v>203</v>
      </c>
      <c r="D497" s="24" t="s">
        <v>42</v>
      </c>
      <c r="E497" s="23">
        <v>2</v>
      </c>
      <c r="F497" s="24" t="s">
        <v>211</v>
      </c>
      <c r="G497" s="24" t="s">
        <v>225</v>
      </c>
      <c r="H497" s="23" t="s">
        <v>226</v>
      </c>
      <c r="I497" s="24" t="s">
        <v>225</v>
      </c>
      <c r="J497" s="23" t="s">
        <v>226</v>
      </c>
      <c r="K497" s="24" t="s">
        <v>226</v>
      </c>
      <c r="L497" s="23"/>
      <c r="M497" s="26" t="s">
        <v>417</v>
      </c>
      <c r="N497" s="24">
        <v>2020</v>
      </c>
      <c r="U497" s="20"/>
      <c r="W497"/>
      <c r="X497" s="20"/>
      <c r="Z497"/>
      <c r="AC497" s="20"/>
      <c r="AE497"/>
      <c r="AI497" s="12"/>
      <c r="AJ497"/>
      <c r="AK497"/>
      <c r="AL497" s="12"/>
      <c r="AM497" s="12"/>
      <c r="AN497" s="12"/>
      <c r="AO497"/>
      <c r="AP497"/>
      <c r="AT497"/>
    </row>
    <row r="498" spans="1:46">
      <c r="A498" s="24">
        <v>2019</v>
      </c>
      <c r="B498" s="24" t="s">
        <v>78</v>
      </c>
      <c r="C498" s="24" t="s">
        <v>79</v>
      </c>
      <c r="D498" s="24" t="s">
        <v>320</v>
      </c>
      <c r="E498" s="23">
        <v>2</v>
      </c>
      <c r="F498" s="24" t="s">
        <v>211</v>
      </c>
      <c r="G498" s="24" t="s">
        <v>225</v>
      </c>
      <c r="H498" s="23" t="s">
        <v>226</v>
      </c>
      <c r="I498" s="24" t="s">
        <v>226</v>
      </c>
      <c r="J498" s="23" t="s">
        <v>226</v>
      </c>
      <c r="K498" s="24" t="s">
        <v>226</v>
      </c>
      <c r="L498" s="23"/>
      <c r="M498" s="26" t="s">
        <v>417</v>
      </c>
      <c r="N498" s="24">
        <v>2020</v>
      </c>
      <c r="U498" s="20"/>
      <c r="W498"/>
      <c r="X498" s="20"/>
      <c r="Z498"/>
      <c r="AC498" s="20"/>
      <c r="AE498"/>
      <c r="AI498" s="12"/>
      <c r="AJ498"/>
      <c r="AK498"/>
      <c r="AL498" s="12"/>
      <c r="AM498" s="12"/>
      <c r="AN498" s="12"/>
      <c r="AO498"/>
      <c r="AP498"/>
      <c r="AT498"/>
    </row>
    <row r="499" spans="1:46">
      <c r="A499" s="24">
        <v>2019</v>
      </c>
      <c r="B499" s="24" t="s">
        <v>4</v>
      </c>
      <c r="C499" s="24" t="s">
        <v>31</v>
      </c>
      <c r="D499" s="24" t="s">
        <v>32</v>
      </c>
      <c r="E499" s="23">
        <v>8</v>
      </c>
      <c r="F499" s="24" t="s">
        <v>211</v>
      </c>
      <c r="G499" s="24" t="s">
        <v>225</v>
      </c>
      <c r="H499" s="23" t="s">
        <v>226</v>
      </c>
      <c r="I499" s="24" t="s">
        <v>225</v>
      </c>
      <c r="J499" s="23" t="s">
        <v>226</v>
      </c>
      <c r="K499" s="24" t="s">
        <v>226</v>
      </c>
      <c r="L499" s="23"/>
      <c r="M499" s="26" t="s">
        <v>417</v>
      </c>
      <c r="N499" s="24">
        <v>2020</v>
      </c>
      <c r="U499" s="20"/>
      <c r="W499"/>
      <c r="X499" s="20"/>
      <c r="Z499"/>
      <c r="AC499" s="20"/>
      <c r="AE499"/>
      <c r="AI499" s="12"/>
      <c r="AJ499"/>
      <c r="AK499"/>
      <c r="AL499" s="12"/>
      <c r="AM499" s="12"/>
      <c r="AN499" s="12"/>
      <c r="AO499"/>
      <c r="AP499"/>
      <c r="AT499"/>
    </row>
    <row r="500" spans="1:46">
      <c r="A500" s="24">
        <v>2019</v>
      </c>
      <c r="B500" s="24" t="s">
        <v>78</v>
      </c>
      <c r="C500" s="24" t="s">
        <v>681</v>
      </c>
      <c r="D500" s="24" t="s">
        <v>250</v>
      </c>
      <c r="E500" s="23">
        <v>2</v>
      </c>
      <c r="F500" s="24" t="s">
        <v>211</v>
      </c>
      <c r="G500" s="24" t="s">
        <v>225</v>
      </c>
      <c r="H500" s="23" t="s">
        <v>226</v>
      </c>
      <c r="I500" s="24" t="s">
        <v>226</v>
      </c>
      <c r="J500" s="23" t="s">
        <v>226</v>
      </c>
      <c r="K500" s="24" t="s">
        <v>226</v>
      </c>
      <c r="L500" s="23"/>
      <c r="M500" s="26" t="s">
        <v>417</v>
      </c>
      <c r="N500" s="24">
        <v>2020</v>
      </c>
      <c r="U500" s="20"/>
      <c r="W500"/>
      <c r="X500" s="20"/>
      <c r="Z500"/>
      <c r="AC500" s="20"/>
      <c r="AE500"/>
      <c r="AI500" s="12"/>
      <c r="AJ500"/>
      <c r="AK500"/>
      <c r="AL500" s="12"/>
      <c r="AM500" s="12"/>
      <c r="AN500" s="12"/>
      <c r="AO500"/>
      <c r="AP500"/>
      <c r="AT500"/>
    </row>
    <row r="501" spans="1:46">
      <c r="A501" s="24">
        <v>2019</v>
      </c>
      <c r="B501" s="24" t="s">
        <v>4</v>
      </c>
      <c r="C501" s="24" t="s">
        <v>23</v>
      </c>
      <c r="D501" s="24" t="s">
        <v>28</v>
      </c>
      <c r="E501" s="23">
        <v>3</v>
      </c>
      <c r="F501" s="24" t="s">
        <v>207</v>
      </c>
      <c r="G501" s="24" t="s">
        <v>225</v>
      </c>
      <c r="H501" s="23" t="s">
        <v>226</v>
      </c>
      <c r="I501" s="24" t="s">
        <v>226</v>
      </c>
      <c r="J501" s="23" t="s">
        <v>226</v>
      </c>
      <c r="K501" s="24" t="s">
        <v>226</v>
      </c>
      <c r="L501" s="23"/>
      <c r="M501" s="26" t="s">
        <v>417</v>
      </c>
      <c r="N501" s="24">
        <v>2020</v>
      </c>
      <c r="U501" s="20"/>
      <c r="W501"/>
      <c r="X501" s="20"/>
      <c r="Z501"/>
      <c r="AC501" s="20"/>
      <c r="AE501"/>
      <c r="AI501" s="12"/>
      <c r="AJ501"/>
      <c r="AK501"/>
      <c r="AL501" s="12"/>
      <c r="AM501" s="12"/>
      <c r="AN501" s="12"/>
      <c r="AO501"/>
      <c r="AP501"/>
      <c r="AT501"/>
    </row>
    <row r="502" spans="1:46">
      <c r="A502" s="24">
        <v>2019</v>
      </c>
      <c r="B502" s="24" t="s">
        <v>136</v>
      </c>
      <c r="C502" s="24" t="s">
        <v>189</v>
      </c>
      <c r="D502" s="24" t="s">
        <v>193</v>
      </c>
      <c r="E502" s="28">
        <v>2</v>
      </c>
      <c r="F502" s="24" t="s">
        <v>211</v>
      </c>
      <c r="G502" s="23" t="s">
        <v>226</v>
      </c>
      <c r="H502" s="23" t="s">
        <v>225</v>
      </c>
      <c r="I502" s="24" t="s">
        <v>225</v>
      </c>
      <c r="J502" s="23" t="s">
        <v>226</v>
      </c>
      <c r="K502" s="24" t="s">
        <v>225</v>
      </c>
      <c r="L502" s="23"/>
      <c r="M502" s="26" t="s">
        <v>417</v>
      </c>
      <c r="N502" s="24">
        <v>2020</v>
      </c>
      <c r="U502" s="20"/>
      <c r="W502"/>
      <c r="X502" s="20"/>
      <c r="Z502"/>
      <c r="AC502" s="20"/>
      <c r="AE502"/>
      <c r="AI502" s="12"/>
      <c r="AJ502"/>
      <c r="AK502"/>
      <c r="AL502" s="12"/>
      <c r="AM502" s="12"/>
      <c r="AN502" s="12"/>
      <c r="AO502"/>
      <c r="AP502"/>
      <c r="AT502"/>
    </row>
    <row r="503" spans="1:46">
      <c r="A503" s="24">
        <v>2019</v>
      </c>
      <c r="B503" s="24" t="s">
        <v>136</v>
      </c>
      <c r="C503" s="24" t="s">
        <v>189</v>
      </c>
      <c r="D503" s="24" t="s">
        <v>258</v>
      </c>
      <c r="E503" s="23"/>
      <c r="F503" s="24" t="s">
        <v>207</v>
      </c>
      <c r="G503" s="24" t="s">
        <v>225</v>
      </c>
      <c r="H503" s="23" t="s">
        <v>225</v>
      </c>
      <c r="I503" s="24" t="s">
        <v>225</v>
      </c>
      <c r="J503" s="23" t="s">
        <v>226</v>
      </c>
      <c r="K503" s="24" t="s">
        <v>226</v>
      </c>
      <c r="L503" s="23"/>
      <c r="M503" s="26" t="s">
        <v>417</v>
      </c>
      <c r="N503" s="24">
        <v>2020</v>
      </c>
      <c r="U503" s="20"/>
      <c r="W503"/>
      <c r="X503" s="20"/>
      <c r="Z503"/>
      <c r="AC503" s="20"/>
      <c r="AE503"/>
      <c r="AI503" s="12"/>
      <c r="AJ503"/>
      <c r="AK503"/>
      <c r="AL503" s="12"/>
      <c r="AM503" s="12"/>
      <c r="AN503" s="12"/>
      <c r="AO503"/>
      <c r="AP503"/>
      <c r="AT503"/>
    </row>
    <row r="504" spans="1:46">
      <c r="A504" s="24">
        <v>2019</v>
      </c>
      <c r="B504" s="24" t="s">
        <v>78</v>
      </c>
      <c r="C504" s="24" t="s">
        <v>79</v>
      </c>
      <c r="D504" s="24" t="s">
        <v>292</v>
      </c>
      <c r="E504" s="23">
        <v>11</v>
      </c>
      <c r="F504" s="24" t="s">
        <v>207</v>
      </c>
      <c r="G504" s="24" t="s">
        <v>225</v>
      </c>
      <c r="H504" s="23" t="s">
        <v>226</v>
      </c>
      <c r="I504" s="24" t="s">
        <v>226</v>
      </c>
      <c r="J504" s="23" t="s">
        <v>226</v>
      </c>
      <c r="K504" s="24" t="s">
        <v>226</v>
      </c>
      <c r="L504" s="23"/>
      <c r="M504" s="26" t="s">
        <v>417</v>
      </c>
      <c r="N504" s="24">
        <v>2020</v>
      </c>
      <c r="U504" s="20"/>
      <c r="W504"/>
      <c r="X504" s="20"/>
      <c r="Z504"/>
      <c r="AC504" s="20"/>
      <c r="AE504"/>
      <c r="AI504" s="12"/>
      <c r="AJ504"/>
      <c r="AK504"/>
      <c r="AL504" s="12"/>
      <c r="AM504" s="12"/>
      <c r="AN504" s="12"/>
      <c r="AO504"/>
      <c r="AP504"/>
      <c r="AT504"/>
    </row>
    <row r="505" spans="1:46">
      <c r="A505" s="24">
        <v>2019</v>
      </c>
      <c r="B505" s="24" t="s">
        <v>78</v>
      </c>
      <c r="C505" s="24" t="s">
        <v>95</v>
      </c>
      <c r="D505" s="24" t="s">
        <v>101</v>
      </c>
      <c r="E505" s="23">
        <v>1</v>
      </c>
      <c r="F505" s="24" t="s">
        <v>207</v>
      </c>
      <c r="G505" s="24" t="s">
        <v>225</v>
      </c>
      <c r="H505" s="23" t="s">
        <v>226</v>
      </c>
      <c r="I505" s="24" t="s">
        <v>226</v>
      </c>
      <c r="J505" s="23" t="s">
        <v>226</v>
      </c>
      <c r="K505" s="24" t="s">
        <v>226</v>
      </c>
      <c r="L505" s="23"/>
      <c r="M505" s="26" t="s">
        <v>418</v>
      </c>
      <c r="N505" s="24">
        <v>2020</v>
      </c>
      <c r="U505" s="20"/>
      <c r="W505"/>
      <c r="X505" s="20"/>
      <c r="Z505"/>
      <c r="AC505" s="20"/>
      <c r="AE505"/>
      <c r="AI505" s="12"/>
      <c r="AJ505"/>
      <c r="AK505"/>
      <c r="AL505" s="12"/>
      <c r="AM505" s="12"/>
      <c r="AN505" s="12"/>
      <c r="AO505"/>
      <c r="AP505"/>
      <c r="AT505"/>
    </row>
    <row r="506" spans="1:46">
      <c r="A506" s="24">
        <v>2019</v>
      </c>
      <c r="B506" s="24" t="s">
        <v>78</v>
      </c>
      <c r="C506" s="24" t="s">
        <v>95</v>
      </c>
      <c r="D506" s="24" t="s">
        <v>376</v>
      </c>
      <c r="E506" s="23">
        <v>1</v>
      </c>
      <c r="F506" s="24" t="s">
        <v>207</v>
      </c>
      <c r="G506" s="24" t="s">
        <v>225</v>
      </c>
      <c r="H506" s="23" t="s">
        <v>226</v>
      </c>
      <c r="I506" s="24" t="s">
        <v>226</v>
      </c>
      <c r="J506" s="23" t="s">
        <v>226</v>
      </c>
      <c r="K506" s="24" t="s">
        <v>226</v>
      </c>
      <c r="L506" s="23"/>
      <c r="M506" s="26" t="s">
        <v>419</v>
      </c>
      <c r="N506" s="24">
        <v>2020</v>
      </c>
      <c r="U506" s="20"/>
      <c r="W506"/>
      <c r="X506" s="20"/>
      <c r="Z506"/>
      <c r="AC506" s="20"/>
      <c r="AE506"/>
      <c r="AI506" s="12"/>
      <c r="AJ506"/>
      <c r="AK506"/>
      <c r="AL506" s="12"/>
      <c r="AM506" s="12"/>
      <c r="AN506" s="12"/>
      <c r="AO506"/>
      <c r="AP506"/>
      <c r="AT506"/>
    </row>
    <row r="507" spans="1:46">
      <c r="A507" s="24">
        <v>2019</v>
      </c>
      <c r="B507" s="24" t="s">
        <v>136</v>
      </c>
      <c r="C507" s="24" t="s">
        <v>176</v>
      </c>
      <c r="D507" s="24" t="s">
        <v>184</v>
      </c>
      <c r="E507" s="23">
        <v>3</v>
      </c>
      <c r="F507" s="24" t="s">
        <v>207</v>
      </c>
      <c r="G507" s="23" t="s">
        <v>226</v>
      </c>
      <c r="H507" s="23" t="s">
        <v>226</v>
      </c>
      <c r="I507" s="24" t="s">
        <v>226</v>
      </c>
      <c r="J507" s="23" t="s">
        <v>226</v>
      </c>
      <c r="K507" s="24" t="s">
        <v>226</v>
      </c>
      <c r="L507" s="23"/>
      <c r="M507" s="26" t="s">
        <v>420</v>
      </c>
      <c r="N507" s="24">
        <v>2020</v>
      </c>
      <c r="U507" s="20"/>
      <c r="W507"/>
      <c r="X507" s="20"/>
      <c r="Z507"/>
      <c r="AC507" s="20"/>
      <c r="AE507"/>
      <c r="AI507" s="12"/>
      <c r="AJ507"/>
      <c r="AK507"/>
      <c r="AL507" s="12"/>
      <c r="AM507" s="12"/>
      <c r="AN507" s="12"/>
      <c r="AO507"/>
      <c r="AP507"/>
      <c r="AT507"/>
    </row>
    <row r="508" spans="1:46">
      <c r="A508" s="24">
        <v>2019</v>
      </c>
      <c r="B508" s="24" t="s">
        <v>4</v>
      </c>
      <c r="C508" s="24" t="s">
        <v>14</v>
      </c>
      <c r="D508" s="24" t="s">
        <v>16</v>
      </c>
      <c r="E508" s="23">
        <v>5</v>
      </c>
      <c r="F508" s="24" t="s">
        <v>211</v>
      </c>
      <c r="G508" s="24" t="s">
        <v>225</v>
      </c>
      <c r="H508" s="23" t="s">
        <v>226</v>
      </c>
      <c r="I508" s="24" t="s">
        <v>226</v>
      </c>
      <c r="J508" s="23" t="s">
        <v>226</v>
      </c>
      <c r="K508" s="24" t="s">
        <v>226</v>
      </c>
      <c r="L508" s="23"/>
      <c r="M508" s="26" t="s">
        <v>421</v>
      </c>
      <c r="N508" s="24">
        <v>2020</v>
      </c>
      <c r="U508" s="20"/>
      <c r="W508"/>
      <c r="X508" s="20"/>
      <c r="Z508"/>
      <c r="AC508" s="20"/>
      <c r="AE508"/>
      <c r="AI508" s="12"/>
      <c r="AJ508"/>
      <c r="AK508"/>
      <c r="AL508" s="12"/>
      <c r="AM508" s="12"/>
      <c r="AN508" s="12"/>
      <c r="AO508"/>
      <c r="AP508"/>
      <c r="AT508"/>
    </row>
    <row r="509" spans="1:46">
      <c r="A509" s="24">
        <v>2019</v>
      </c>
      <c r="B509" s="24" t="s">
        <v>78</v>
      </c>
      <c r="C509" s="24" t="s">
        <v>79</v>
      </c>
      <c r="D509" s="24" t="s">
        <v>55</v>
      </c>
      <c r="E509" s="23">
        <v>2</v>
      </c>
      <c r="F509" s="24" t="s">
        <v>207</v>
      </c>
      <c r="G509" s="24" t="s">
        <v>225</v>
      </c>
      <c r="H509" s="23" t="s">
        <v>226</v>
      </c>
      <c r="I509" s="24" t="s">
        <v>226</v>
      </c>
      <c r="J509" s="23" t="s">
        <v>226</v>
      </c>
      <c r="K509" s="24" t="s">
        <v>226</v>
      </c>
      <c r="L509" s="23"/>
      <c r="M509" s="26" t="s">
        <v>421</v>
      </c>
      <c r="N509" s="24">
        <v>2020</v>
      </c>
      <c r="U509" s="20"/>
      <c r="W509"/>
      <c r="X509" s="20"/>
      <c r="Z509"/>
      <c r="AC509" s="20"/>
      <c r="AE509"/>
      <c r="AI509" s="12"/>
      <c r="AJ509"/>
      <c r="AK509"/>
      <c r="AL509" s="12"/>
      <c r="AM509" s="12"/>
      <c r="AN509" s="12"/>
      <c r="AO509"/>
      <c r="AP509"/>
      <c r="AT509"/>
    </row>
    <row r="510" spans="1:46">
      <c r="A510" s="24">
        <v>2019</v>
      </c>
      <c r="B510" s="24" t="s">
        <v>78</v>
      </c>
      <c r="C510" s="24" t="s">
        <v>79</v>
      </c>
      <c r="D510" s="24" t="s">
        <v>341</v>
      </c>
      <c r="E510" s="23">
        <v>7</v>
      </c>
      <c r="F510" s="24" t="s">
        <v>211</v>
      </c>
      <c r="G510" s="24" t="s">
        <v>225</v>
      </c>
      <c r="H510" s="23" t="s">
        <v>226</v>
      </c>
      <c r="I510" s="24" t="s">
        <v>226</v>
      </c>
      <c r="J510" s="23" t="s">
        <v>226</v>
      </c>
      <c r="K510" s="24" t="s">
        <v>226</v>
      </c>
      <c r="L510" s="23"/>
      <c r="M510" s="26" t="s">
        <v>421</v>
      </c>
      <c r="N510" s="24">
        <v>2020</v>
      </c>
      <c r="U510" s="20"/>
      <c r="W510"/>
      <c r="X510" s="20"/>
      <c r="Z510"/>
      <c r="AC510" s="20"/>
      <c r="AE510"/>
      <c r="AI510" s="12"/>
      <c r="AJ510"/>
      <c r="AK510"/>
      <c r="AL510" s="12"/>
      <c r="AM510" s="12"/>
      <c r="AN510" s="12"/>
      <c r="AO510"/>
      <c r="AP510"/>
      <c r="AT510"/>
    </row>
    <row r="511" spans="1:46">
      <c r="A511" s="24">
        <v>2019</v>
      </c>
      <c r="B511" s="24" t="s">
        <v>78</v>
      </c>
      <c r="C511" s="24" t="s">
        <v>92</v>
      </c>
      <c r="D511" s="24" t="s">
        <v>422</v>
      </c>
      <c r="E511" s="23">
        <v>1</v>
      </c>
      <c r="F511" s="24" t="s">
        <v>211</v>
      </c>
      <c r="G511" s="24" t="s">
        <v>225</v>
      </c>
      <c r="H511" s="23" t="s">
        <v>226</v>
      </c>
      <c r="I511" s="24" t="s">
        <v>225</v>
      </c>
      <c r="J511" s="23" t="s">
        <v>226</v>
      </c>
      <c r="K511" s="24" t="s">
        <v>226</v>
      </c>
      <c r="L511" s="23"/>
      <c r="M511" s="26" t="s">
        <v>421</v>
      </c>
      <c r="N511" s="24">
        <v>2020</v>
      </c>
      <c r="U511" s="20"/>
      <c r="W511"/>
      <c r="X511" s="20"/>
      <c r="Z511"/>
      <c r="AC511" s="20"/>
      <c r="AE511"/>
      <c r="AI511" s="12"/>
      <c r="AJ511"/>
      <c r="AK511"/>
      <c r="AL511" s="12"/>
      <c r="AM511" s="12"/>
      <c r="AN511" s="12"/>
      <c r="AO511"/>
      <c r="AP511"/>
      <c r="AT511"/>
    </row>
    <row r="512" spans="1:46">
      <c r="A512" s="24">
        <v>2019</v>
      </c>
      <c r="B512" s="24" t="s">
        <v>78</v>
      </c>
      <c r="C512" s="24" t="s">
        <v>79</v>
      </c>
      <c r="D512" s="24" t="s">
        <v>53</v>
      </c>
      <c r="E512" s="23">
        <v>2</v>
      </c>
      <c r="F512" s="24" t="s">
        <v>211</v>
      </c>
      <c r="G512" s="24" t="s">
        <v>225</v>
      </c>
      <c r="H512" s="23" t="s">
        <v>226</v>
      </c>
      <c r="I512" s="24" t="s">
        <v>225</v>
      </c>
      <c r="J512" s="23" t="s">
        <v>226</v>
      </c>
      <c r="K512" s="24" t="s">
        <v>225</v>
      </c>
      <c r="L512" s="23"/>
      <c r="M512" s="26" t="s">
        <v>421</v>
      </c>
      <c r="N512" s="24">
        <v>2020</v>
      </c>
      <c r="U512" s="20"/>
      <c r="W512"/>
      <c r="X512" s="20"/>
      <c r="Z512"/>
      <c r="AC512" s="20"/>
      <c r="AE512"/>
      <c r="AI512" s="12"/>
      <c r="AJ512"/>
      <c r="AK512"/>
      <c r="AL512" s="12"/>
      <c r="AM512" s="12"/>
      <c r="AN512" s="12"/>
      <c r="AO512"/>
      <c r="AP512"/>
      <c r="AT512"/>
    </row>
    <row r="513" spans="1:46">
      <c r="A513" s="24">
        <v>2019</v>
      </c>
      <c r="B513" s="24" t="s">
        <v>4</v>
      </c>
      <c r="C513" s="24" t="s">
        <v>23</v>
      </c>
      <c r="D513" s="24" t="s">
        <v>27</v>
      </c>
      <c r="E513" s="23">
        <v>2</v>
      </c>
      <c r="F513" s="24" t="s">
        <v>211</v>
      </c>
      <c r="G513" s="24" t="s">
        <v>225</v>
      </c>
      <c r="H513" s="23" t="s">
        <v>226</v>
      </c>
      <c r="I513" s="24" t="s">
        <v>226</v>
      </c>
      <c r="J513" s="23" t="s">
        <v>226</v>
      </c>
      <c r="K513" s="24" t="s">
        <v>226</v>
      </c>
      <c r="L513" s="23"/>
      <c r="M513" s="26" t="s">
        <v>421</v>
      </c>
      <c r="N513" s="24">
        <v>2020</v>
      </c>
      <c r="U513" s="20"/>
      <c r="W513"/>
      <c r="X513" s="20"/>
      <c r="Z513"/>
      <c r="AC513" s="20"/>
      <c r="AE513"/>
      <c r="AI513" s="12"/>
      <c r="AJ513"/>
      <c r="AK513"/>
      <c r="AL513" s="12"/>
      <c r="AM513" s="12"/>
      <c r="AN513" s="12"/>
      <c r="AO513"/>
      <c r="AP513"/>
      <c r="AT513"/>
    </row>
    <row r="514" spans="1:46">
      <c r="A514" s="24">
        <v>2019</v>
      </c>
      <c r="B514" s="24" t="s">
        <v>4</v>
      </c>
      <c r="C514" s="24" t="s">
        <v>31</v>
      </c>
      <c r="D514" s="24" t="s">
        <v>32</v>
      </c>
      <c r="E514" s="23">
        <v>3</v>
      </c>
      <c r="F514" s="24" t="s">
        <v>211</v>
      </c>
      <c r="G514" s="24" t="s">
        <v>225</v>
      </c>
      <c r="H514" s="23" t="s">
        <v>226</v>
      </c>
      <c r="I514" s="24" t="s">
        <v>225</v>
      </c>
      <c r="J514" s="23" t="s">
        <v>226</v>
      </c>
      <c r="K514" s="24" t="s">
        <v>226</v>
      </c>
      <c r="L514" s="23"/>
      <c r="M514" s="26" t="s">
        <v>421</v>
      </c>
      <c r="N514" s="24">
        <v>2020</v>
      </c>
      <c r="S514" s="12"/>
      <c r="W514"/>
      <c r="Z514"/>
      <c r="AE514"/>
      <c r="AJ514"/>
      <c r="AK514"/>
      <c r="AO514"/>
      <c r="AP514"/>
      <c r="AT514"/>
    </row>
    <row r="515" spans="1:46">
      <c r="A515" s="24">
        <v>2019</v>
      </c>
      <c r="B515" s="24" t="s">
        <v>136</v>
      </c>
      <c r="C515" s="24" t="s">
        <v>176</v>
      </c>
      <c r="D515" s="24" t="s">
        <v>187</v>
      </c>
      <c r="E515" s="23"/>
      <c r="F515" s="24" t="s">
        <v>211</v>
      </c>
      <c r="G515" s="24" t="s">
        <v>225</v>
      </c>
      <c r="H515" s="23" t="s">
        <v>225</v>
      </c>
      <c r="I515" s="24" t="s">
        <v>225</v>
      </c>
      <c r="J515" s="23" t="s">
        <v>226</v>
      </c>
      <c r="K515" s="24" t="s">
        <v>225</v>
      </c>
      <c r="L515" s="23"/>
      <c r="M515" s="26" t="s">
        <v>421</v>
      </c>
      <c r="N515" s="24">
        <v>2020</v>
      </c>
      <c r="P515" s="20"/>
      <c r="U515" s="12"/>
      <c r="W515"/>
      <c r="Z515"/>
      <c r="AE515"/>
      <c r="AJ515"/>
      <c r="AK515"/>
      <c r="AO515"/>
      <c r="AP515"/>
      <c r="AT515"/>
    </row>
    <row r="516" spans="1:46">
      <c r="A516" s="24">
        <v>2019</v>
      </c>
      <c r="B516" s="24" t="s">
        <v>4</v>
      </c>
      <c r="C516" s="24" t="s">
        <v>203</v>
      </c>
      <c r="D516" s="24" t="s">
        <v>204</v>
      </c>
      <c r="E516" s="23">
        <v>5</v>
      </c>
      <c r="F516" s="24" t="s">
        <v>211</v>
      </c>
      <c r="G516" s="24" t="s">
        <v>225</v>
      </c>
      <c r="H516" s="23" t="s">
        <v>226</v>
      </c>
      <c r="I516" s="24" t="s">
        <v>226</v>
      </c>
      <c r="J516" s="23" t="s">
        <v>226</v>
      </c>
      <c r="K516" s="24" t="s">
        <v>226</v>
      </c>
      <c r="L516" s="23"/>
      <c r="M516" s="26" t="s">
        <v>423</v>
      </c>
      <c r="N516" s="24">
        <v>2020</v>
      </c>
      <c r="P516" s="20"/>
      <c r="U516" s="12"/>
      <c r="W516"/>
      <c r="Z516"/>
      <c r="AE516"/>
      <c r="AJ516"/>
      <c r="AK516"/>
      <c r="AO516"/>
      <c r="AP516"/>
      <c r="AT516"/>
    </row>
    <row r="517" spans="1:46">
      <c r="A517" s="24">
        <v>2019</v>
      </c>
      <c r="B517" s="24" t="s">
        <v>78</v>
      </c>
      <c r="C517" s="24" t="s">
        <v>79</v>
      </c>
      <c r="D517" s="24" t="s">
        <v>327</v>
      </c>
      <c r="E517" s="23">
        <v>4</v>
      </c>
      <c r="F517" s="24" t="s">
        <v>211</v>
      </c>
      <c r="G517" s="24" t="s">
        <v>225</v>
      </c>
      <c r="H517" s="23" t="s">
        <v>226</v>
      </c>
      <c r="I517" s="24" t="s">
        <v>226</v>
      </c>
      <c r="J517" s="23" t="s">
        <v>226</v>
      </c>
      <c r="K517" s="24" t="s">
        <v>226</v>
      </c>
      <c r="L517" s="23"/>
      <c r="M517" s="26" t="s">
        <v>424</v>
      </c>
      <c r="N517" s="24">
        <v>2020</v>
      </c>
      <c r="P517" s="20"/>
      <c r="U517" s="12"/>
      <c r="W517"/>
      <c r="Z517"/>
      <c r="AE517"/>
      <c r="AJ517"/>
      <c r="AK517"/>
      <c r="AO517"/>
      <c r="AP517"/>
      <c r="AT517"/>
    </row>
    <row r="518" spans="1:46">
      <c r="A518" s="24">
        <v>2019</v>
      </c>
      <c r="B518" s="24" t="s">
        <v>78</v>
      </c>
      <c r="C518" s="24" t="s">
        <v>79</v>
      </c>
      <c r="D518" s="24" t="s">
        <v>292</v>
      </c>
      <c r="E518" s="23">
        <v>3</v>
      </c>
      <c r="F518" s="24" t="s">
        <v>207</v>
      </c>
      <c r="G518" s="24" t="s">
        <v>225</v>
      </c>
      <c r="H518" s="23" t="s">
        <v>226</v>
      </c>
      <c r="I518" s="24" t="s">
        <v>225</v>
      </c>
      <c r="J518" s="23" t="s">
        <v>226</v>
      </c>
      <c r="K518" s="24" t="s">
        <v>225</v>
      </c>
      <c r="L518" s="23"/>
      <c r="M518" s="26" t="s">
        <v>425</v>
      </c>
      <c r="N518" s="24">
        <v>2020</v>
      </c>
      <c r="P518" s="20"/>
      <c r="U518" s="12"/>
      <c r="W518"/>
      <c r="Z518"/>
      <c r="AE518"/>
      <c r="AJ518"/>
      <c r="AK518"/>
      <c r="AO518"/>
      <c r="AP518"/>
      <c r="AT518"/>
    </row>
    <row r="519" spans="1:46">
      <c r="A519" s="24">
        <v>2019</v>
      </c>
      <c r="B519" s="24" t="s">
        <v>4</v>
      </c>
      <c r="C519" s="24" t="s">
        <v>14</v>
      </c>
      <c r="D519" s="24" t="s">
        <v>15</v>
      </c>
      <c r="E519" s="23">
        <v>8</v>
      </c>
      <c r="F519" s="24" t="s">
        <v>207</v>
      </c>
      <c r="G519" s="24" t="s">
        <v>225</v>
      </c>
      <c r="H519" s="23" t="s">
        <v>226</v>
      </c>
      <c r="I519" s="24" t="s">
        <v>226</v>
      </c>
      <c r="J519" s="23" t="s">
        <v>226</v>
      </c>
      <c r="K519" s="24" t="s">
        <v>226</v>
      </c>
      <c r="L519" s="23"/>
      <c r="M519" s="26" t="s">
        <v>425</v>
      </c>
      <c r="N519" s="24">
        <v>2020</v>
      </c>
      <c r="P519" s="20"/>
      <c r="U519" s="12"/>
      <c r="W519"/>
      <c r="Z519"/>
      <c r="AE519"/>
      <c r="AJ519"/>
      <c r="AK519"/>
      <c r="AO519"/>
      <c r="AP519"/>
      <c r="AT519"/>
    </row>
    <row r="520" spans="1:46">
      <c r="A520" s="24">
        <v>2019</v>
      </c>
      <c r="B520" s="24" t="s">
        <v>136</v>
      </c>
      <c r="C520" s="24" t="s">
        <v>168</v>
      </c>
      <c r="D520" s="24" t="s">
        <v>170</v>
      </c>
      <c r="E520" s="23">
        <v>2</v>
      </c>
      <c r="F520" s="24" t="s">
        <v>207</v>
      </c>
      <c r="G520" s="24" t="s">
        <v>225</v>
      </c>
      <c r="H520" s="23" t="s">
        <v>226</v>
      </c>
      <c r="I520" s="24" t="s">
        <v>226</v>
      </c>
      <c r="J520" s="23" t="s">
        <v>226</v>
      </c>
      <c r="K520" s="24" t="s">
        <v>226</v>
      </c>
      <c r="L520" s="23"/>
      <c r="M520" s="26" t="s">
        <v>425</v>
      </c>
      <c r="N520" s="24">
        <v>2020</v>
      </c>
      <c r="P520" s="20"/>
      <c r="U520" s="12"/>
      <c r="W520"/>
      <c r="Z520"/>
      <c r="AE520"/>
      <c r="AJ520"/>
      <c r="AK520"/>
      <c r="AO520"/>
      <c r="AP520"/>
      <c r="AT520"/>
    </row>
    <row r="521" spans="1:46">
      <c r="A521" s="24">
        <v>2019</v>
      </c>
      <c r="B521" s="24" t="s">
        <v>136</v>
      </c>
      <c r="C521" s="24" t="s">
        <v>176</v>
      </c>
      <c r="D521" s="24" t="s">
        <v>188</v>
      </c>
      <c r="E521" s="23">
        <v>5</v>
      </c>
      <c r="F521" s="24" t="s">
        <v>211</v>
      </c>
      <c r="G521" s="24" t="s">
        <v>225</v>
      </c>
      <c r="H521" s="23" t="s">
        <v>226</v>
      </c>
      <c r="I521" s="24" t="s">
        <v>226</v>
      </c>
      <c r="J521" s="23" t="s">
        <v>226</v>
      </c>
      <c r="K521" s="24" t="s">
        <v>225</v>
      </c>
      <c r="L521" s="23"/>
      <c r="M521" s="26" t="s">
        <v>425</v>
      </c>
      <c r="N521" s="24">
        <v>2020</v>
      </c>
      <c r="P521" s="20"/>
      <c r="U521" s="12"/>
      <c r="W521"/>
      <c r="Z521"/>
      <c r="AE521"/>
      <c r="AJ521"/>
      <c r="AK521"/>
      <c r="AO521"/>
      <c r="AP521"/>
      <c r="AT521"/>
    </row>
    <row r="522" spans="1:46">
      <c r="A522" s="24">
        <v>2019</v>
      </c>
      <c r="B522" s="24" t="s">
        <v>4</v>
      </c>
      <c r="C522" s="24" t="s">
        <v>203</v>
      </c>
      <c r="D522" s="24" t="s">
        <v>42</v>
      </c>
      <c r="E522" s="23"/>
      <c r="F522" s="24" t="s">
        <v>211</v>
      </c>
      <c r="G522" s="24" t="s">
        <v>225</v>
      </c>
      <c r="H522" s="23" t="s">
        <v>225</v>
      </c>
      <c r="I522" s="24" t="s">
        <v>226</v>
      </c>
      <c r="J522" s="23" t="s">
        <v>226</v>
      </c>
      <c r="K522" s="24" t="s">
        <v>226</v>
      </c>
      <c r="L522" s="23"/>
      <c r="M522" s="26" t="s">
        <v>426</v>
      </c>
      <c r="N522" s="24">
        <v>2020</v>
      </c>
      <c r="P522" s="20"/>
      <c r="U522" s="12"/>
      <c r="W522"/>
      <c r="Z522"/>
      <c r="AE522"/>
      <c r="AJ522"/>
      <c r="AK522"/>
      <c r="AO522"/>
      <c r="AP522"/>
      <c r="AT522"/>
    </row>
    <row r="523" spans="1:46">
      <c r="A523" s="24">
        <v>2019</v>
      </c>
      <c r="B523" s="24" t="s">
        <v>136</v>
      </c>
      <c r="C523" s="24" t="s">
        <v>160</v>
      </c>
      <c r="D523" s="24" t="s">
        <v>162</v>
      </c>
      <c r="E523" s="23">
        <v>1</v>
      </c>
      <c r="F523" s="24" t="s">
        <v>207</v>
      </c>
      <c r="G523" s="24" t="s">
        <v>225</v>
      </c>
      <c r="H523" s="23" t="s">
        <v>226</v>
      </c>
      <c r="I523" s="24" t="s">
        <v>225</v>
      </c>
      <c r="J523" s="23" t="s">
        <v>226</v>
      </c>
      <c r="K523" s="24" t="s">
        <v>226</v>
      </c>
      <c r="L523" s="23"/>
      <c r="M523" s="26" t="s">
        <v>426</v>
      </c>
      <c r="N523" s="24">
        <v>2020</v>
      </c>
      <c r="P523" s="20"/>
      <c r="U523" s="12"/>
      <c r="W523"/>
      <c r="Z523"/>
      <c r="AE523"/>
      <c r="AJ523"/>
      <c r="AK523"/>
      <c r="AO523"/>
      <c r="AP523"/>
      <c r="AT523"/>
    </row>
    <row r="524" spans="1:46">
      <c r="A524" s="24">
        <v>2019</v>
      </c>
      <c r="B524" s="24" t="s">
        <v>4</v>
      </c>
      <c r="C524" s="24" t="s">
        <v>18</v>
      </c>
      <c r="D524" s="24" t="s">
        <v>19</v>
      </c>
      <c r="E524" s="23">
        <v>11</v>
      </c>
      <c r="F524" s="24" t="s">
        <v>211</v>
      </c>
      <c r="G524" s="24" t="s">
        <v>225</v>
      </c>
      <c r="H524" s="23" t="s">
        <v>226</v>
      </c>
      <c r="I524" s="24" t="s">
        <v>226</v>
      </c>
      <c r="J524" s="23" t="s">
        <v>226</v>
      </c>
      <c r="K524" s="24" t="s">
        <v>226</v>
      </c>
      <c r="L524" s="23"/>
      <c r="M524" s="26" t="s">
        <v>426</v>
      </c>
      <c r="N524" s="24">
        <v>2020</v>
      </c>
      <c r="P524" s="20"/>
      <c r="U524" s="12"/>
      <c r="W524"/>
      <c r="Z524"/>
      <c r="AE524"/>
      <c r="AJ524"/>
      <c r="AK524"/>
      <c r="AO524"/>
      <c r="AP524"/>
      <c r="AT524"/>
    </row>
    <row r="525" spans="1:46">
      <c r="A525" s="24">
        <v>2019</v>
      </c>
      <c r="B525" s="24" t="s">
        <v>4</v>
      </c>
      <c r="C525" s="24" t="s">
        <v>5</v>
      </c>
      <c r="D525" s="24" t="s">
        <v>10</v>
      </c>
      <c r="E525" s="23">
        <v>4</v>
      </c>
      <c r="F525" s="24" t="s">
        <v>211</v>
      </c>
      <c r="G525" s="24" t="s">
        <v>225</v>
      </c>
      <c r="H525" s="23" t="s">
        <v>226</v>
      </c>
      <c r="I525" s="24" t="s">
        <v>225</v>
      </c>
      <c r="J525" s="23" t="s">
        <v>226</v>
      </c>
      <c r="K525" s="24" t="s">
        <v>226</v>
      </c>
      <c r="L525" s="23"/>
      <c r="M525" s="26" t="s">
        <v>426</v>
      </c>
      <c r="N525" s="24">
        <v>2020</v>
      </c>
      <c r="P525" s="20"/>
      <c r="U525" s="12"/>
      <c r="W525"/>
      <c r="Z525"/>
      <c r="AE525"/>
      <c r="AJ525"/>
      <c r="AK525"/>
      <c r="AO525"/>
      <c r="AP525"/>
      <c r="AT525"/>
    </row>
    <row r="526" spans="1:46">
      <c r="A526" s="24">
        <v>2019</v>
      </c>
      <c r="B526" s="24" t="s">
        <v>78</v>
      </c>
      <c r="C526" s="24" t="s">
        <v>122</v>
      </c>
      <c r="D526" s="24" t="s">
        <v>427</v>
      </c>
      <c r="E526" s="23">
        <v>1</v>
      </c>
      <c r="F526" s="24" t="s">
        <v>207</v>
      </c>
      <c r="G526" s="24" t="s">
        <v>225</v>
      </c>
      <c r="H526" s="23" t="s">
        <v>226</v>
      </c>
      <c r="I526" s="24" t="s">
        <v>225</v>
      </c>
      <c r="J526" s="23" t="s">
        <v>226</v>
      </c>
      <c r="K526" s="24" t="s">
        <v>225</v>
      </c>
      <c r="L526" s="23"/>
      <c r="M526" s="25">
        <v>43864</v>
      </c>
      <c r="N526" s="24">
        <v>2020</v>
      </c>
      <c r="P526" s="20"/>
      <c r="U526" s="12"/>
      <c r="W526"/>
      <c r="Z526"/>
      <c r="AE526"/>
      <c r="AJ526"/>
      <c r="AK526"/>
      <c r="AO526"/>
      <c r="AP526"/>
      <c r="AT526"/>
    </row>
    <row r="527" spans="1:46">
      <c r="A527" s="24">
        <v>2019</v>
      </c>
      <c r="B527" s="24" t="s">
        <v>78</v>
      </c>
      <c r="C527" s="24" t="s">
        <v>79</v>
      </c>
      <c r="D527" s="24" t="s">
        <v>51</v>
      </c>
      <c r="E527" s="23">
        <v>9</v>
      </c>
      <c r="F527" s="24" t="s">
        <v>211</v>
      </c>
      <c r="G527" s="24" t="s">
        <v>225</v>
      </c>
      <c r="H527" s="23" t="s">
        <v>226</v>
      </c>
      <c r="I527" s="24" t="s">
        <v>226</v>
      </c>
      <c r="J527" s="23" t="s">
        <v>226</v>
      </c>
      <c r="K527" s="24" t="s">
        <v>225</v>
      </c>
      <c r="L527" s="23"/>
      <c r="M527" s="25">
        <v>43864</v>
      </c>
      <c r="N527" s="24">
        <v>2020</v>
      </c>
      <c r="P527" s="20"/>
      <c r="U527" s="12"/>
      <c r="W527"/>
      <c r="Z527"/>
      <c r="AE527"/>
      <c r="AJ527"/>
      <c r="AK527"/>
      <c r="AO527"/>
      <c r="AP527"/>
      <c r="AT527"/>
    </row>
    <row r="528" spans="1:46">
      <c r="A528" s="24">
        <v>2019</v>
      </c>
      <c r="B528" s="24" t="s">
        <v>78</v>
      </c>
      <c r="C528" s="24" t="s">
        <v>681</v>
      </c>
      <c r="D528" s="24" t="s">
        <v>135</v>
      </c>
      <c r="E528" s="23">
        <v>7</v>
      </c>
      <c r="F528" s="24" t="s">
        <v>207</v>
      </c>
      <c r="G528" s="24" t="s">
        <v>225</v>
      </c>
      <c r="H528" s="23" t="s">
        <v>226</v>
      </c>
      <c r="I528" s="24" t="s">
        <v>225</v>
      </c>
      <c r="J528" s="23" t="s">
        <v>226</v>
      </c>
      <c r="K528" s="24" t="s">
        <v>225</v>
      </c>
      <c r="L528" s="23"/>
      <c r="M528" s="25">
        <v>43864</v>
      </c>
      <c r="N528" s="24">
        <v>2020</v>
      </c>
      <c r="P528" s="20"/>
      <c r="U528" s="12"/>
      <c r="W528"/>
      <c r="Z528"/>
      <c r="AE528"/>
      <c r="AJ528"/>
      <c r="AK528"/>
      <c r="AO528"/>
      <c r="AP528"/>
      <c r="AT528"/>
    </row>
    <row r="529" spans="1:46">
      <c r="A529" s="24">
        <v>2019</v>
      </c>
      <c r="B529" s="24" t="s">
        <v>136</v>
      </c>
      <c r="C529" s="24" t="s">
        <v>146</v>
      </c>
      <c r="D529" s="24" t="s">
        <v>149</v>
      </c>
      <c r="E529" s="23">
        <v>3</v>
      </c>
      <c r="F529" s="24" t="s">
        <v>211</v>
      </c>
      <c r="G529" s="24" t="s">
        <v>225</v>
      </c>
      <c r="H529" s="23" t="s">
        <v>226</v>
      </c>
      <c r="I529" s="24" t="s">
        <v>225</v>
      </c>
      <c r="J529" s="23" t="s">
        <v>226</v>
      </c>
      <c r="K529" s="24" t="s">
        <v>225</v>
      </c>
      <c r="L529" s="23"/>
      <c r="M529" s="25">
        <v>43864</v>
      </c>
      <c r="N529" s="24">
        <v>2020</v>
      </c>
      <c r="P529" s="20"/>
      <c r="U529" s="12"/>
      <c r="W529"/>
      <c r="Z529"/>
      <c r="AE529"/>
      <c r="AJ529"/>
      <c r="AK529"/>
      <c r="AO529"/>
      <c r="AP529"/>
      <c r="AT529"/>
    </row>
    <row r="530" spans="1:46">
      <c r="A530" s="24">
        <v>2019</v>
      </c>
      <c r="B530" s="24" t="s">
        <v>136</v>
      </c>
      <c r="C530" s="24" t="s">
        <v>171</v>
      </c>
      <c r="D530" s="24" t="s">
        <v>174</v>
      </c>
      <c r="E530" s="23">
        <v>3</v>
      </c>
      <c r="F530" s="24" t="s">
        <v>207</v>
      </c>
      <c r="G530" s="24" t="s">
        <v>225</v>
      </c>
      <c r="H530" s="23" t="s">
        <v>226</v>
      </c>
      <c r="I530" s="24" t="s">
        <v>226</v>
      </c>
      <c r="J530" s="23" t="s">
        <v>226</v>
      </c>
      <c r="K530" s="24" t="s">
        <v>225</v>
      </c>
      <c r="L530" s="23"/>
      <c r="M530" s="25">
        <v>43867</v>
      </c>
      <c r="N530" s="24">
        <v>2020</v>
      </c>
      <c r="P530" s="20"/>
      <c r="U530" s="12"/>
      <c r="W530"/>
      <c r="Z530"/>
      <c r="AE530"/>
      <c r="AJ530"/>
      <c r="AK530"/>
      <c r="AO530"/>
      <c r="AP530"/>
      <c r="AT530"/>
    </row>
    <row r="531" spans="1:46">
      <c r="A531" s="24">
        <v>2019</v>
      </c>
      <c r="B531" s="24" t="s">
        <v>136</v>
      </c>
      <c r="C531" s="24" t="s">
        <v>146</v>
      </c>
      <c r="D531" s="24" t="s">
        <v>149</v>
      </c>
      <c r="E531" s="23">
        <v>4</v>
      </c>
      <c r="F531" s="24" t="s">
        <v>211</v>
      </c>
      <c r="G531" s="24" t="s">
        <v>225</v>
      </c>
      <c r="H531" s="23" t="s">
        <v>226</v>
      </c>
      <c r="I531" s="24" t="s">
        <v>226</v>
      </c>
      <c r="J531" s="23" t="s">
        <v>226</v>
      </c>
      <c r="K531" s="24" t="s">
        <v>225</v>
      </c>
      <c r="L531" s="23"/>
      <c r="M531" s="25">
        <v>43867</v>
      </c>
      <c r="N531" s="24">
        <v>2020</v>
      </c>
      <c r="P531" s="20"/>
      <c r="U531" s="12"/>
      <c r="W531"/>
      <c r="Z531"/>
      <c r="AE531"/>
      <c r="AJ531"/>
      <c r="AK531"/>
      <c r="AO531"/>
      <c r="AP531"/>
      <c r="AT531"/>
    </row>
    <row r="532" spans="1:46">
      <c r="A532" s="24">
        <v>2019</v>
      </c>
      <c r="B532" s="24" t="s">
        <v>4</v>
      </c>
      <c r="C532" s="24" t="s">
        <v>18</v>
      </c>
      <c r="D532" s="24" t="s">
        <v>22</v>
      </c>
      <c r="E532" s="23">
        <v>1</v>
      </c>
      <c r="F532" s="24" t="s">
        <v>211</v>
      </c>
      <c r="G532" s="24" t="s">
        <v>225</v>
      </c>
      <c r="H532" s="23" t="s">
        <v>226</v>
      </c>
      <c r="I532" s="24" t="s">
        <v>225</v>
      </c>
      <c r="J532" s="23" t="s">
        <v>226</v>
      </c>
      <c r="K532" s="24" t="s">
        <v>225</v>
      </c>
      <c r="L532" s="23"/>
      <c r="M532" s="25">
        <v>43870</v>
      </c>
      <c r="N532" s="24">
        <v>2020</v>
      </c>
      <c r="P532" s="20"/>
      <c r="U532" s="12"/>
      <c r="W532"/>
      <c r="Z532"/>
      <c r="AE532"/>
      <c r="AJ532"/>
      <c r="AK532"/>
      <c r="AO532"/>
      <c r="AP532"/>
      <c r="AT532"/>
    </row>
    <row r="533" spans="1:46">
      <c r="A533" s="24">
        <v>2019</v>
      </c>
      <c r="B533" s="24" t="s">
        <v>136</v>
      </c>
      <c r="C533" s="24" t="s">
        <v>171</v>
      </c>
      <c r="D533" s="24" t="s">
        <v>175</v>
      </c>
      <c r="E533" s="23"/>
      <c r="F533" s="24" t="s">
        <v>207</v>
      </c>
      <c r="G533" s="24" t="s">
        <v>225</v>
      </c>
      <c r="H533" s="23" t="s">
        <v>225</v>
      </c>
      <c r="I533" s="24" t="s">
        <v>226</v>
      </c>
      <c r="J533" s="23" t="s">
        <v>226</v>
      </c>
      <c r="K533" s="24" t="s">
        <v>225</v>
      </c>
      <c r="L533" s="23"/>
      <c r="M533" s="26" t="s">
        <v>428</v>
      </c>
      <c r="N533" s="24">
        <v>2020</v>
      </c>
      <c r="P533" s="20"/>
      <c r="U533" s="12"/>
      <c r="W533"/>
      <c r="Z533"/>
      <c r="AE533"/>
      <c r="AJ533"/>
      <c r="AK533"/>
      <c r="AO533"/>
      <c r="AP533"/>
      <c r="AT533"/>
    </row>
    <row r="534" spans="1:46">
      <c r="A534" s="24">
        <v>2019</v>
      </c>
      <c r="B534" s="24" t="s">
        <v>4</v>
      </c>
      <c r="C534" s="24" t="s">
        <v>203</v>
      </c>
      <c r="D534" s="24" t="s">
        <v>39</v>
      </c>
      <c r="E534" s="23"/>
      <c r="F534" s="24" t="s">
        <v>211</v>
      </c>
      <c r="G534" s="24" t="s">
        <v>225</v>
      </c>
      <c r="H534" s="23" t="s">
        <v>225</v>
      </c>
      <c r="I534" s="24" t="s">
        <v>225</v>
      </c>
      <c r="J534" s="23" t="s">
        <v>226</v>
      </c>
      <c r="K534" s="24" t="s">
        <v>226</v>
      </c>
      <c r="L534" s="23"/>
      <c r="M534" s="26" t="s">
        <v>428</v>
      </c>
      <c r="N534" s="24">
        <v>2020</v>
      </c>
      <c r="P534" s="20"/>
      <c r="U534" s="12"/>
      <c r="W534"/>
      <c r="Z534"/>
      <c r="AE534"/>
      <c r="AJ534"/>
      <c r="AK534"/>
      <c r="AO534"/>
      <c r="AP534"/>
      <c r="AT534"/>
    </row>
    <row r="535" spans="1:46">
      <c r="A535" s="24">
        <v>2019</v>
      </c>
      <c r="B535" s="24" t="s">
        <v>136</v>
      </c>
      <c r="C535" s="24" t="s">
        <v>146</v>
      </c>
      <c r="D535" s="24" t="s">
        <v>151</v>
      </c>
      <c r="E535" s="23">
        <v>3</v>
      </c>
      <c r="F535" s="24" t="s">
        <v>211</v>
      </c>
      <c r="G535" s="24" t="s">
        <v>225</v>
      </c>
      <c r="H535" s="23" t="s">
        <v>226</v>
      </c>
      <c r="I535" s="24" t="s">
        <v>226</v>
      </c>
      <c r="J535" s="23" t="s">
        <v>226</v>
      </c>
      <c r="K535" s="24" t="s">
        <v>226</v>
      </c>
      <c r="L535" s="23"/>
      <c r="M535" s="26" t="s">
        <v>428</v>
      </c>
      <c r="N535" s="24">
        <v>2020</v>
      </c>
      <c r="P535" s="20"/>
      <c r="U535" s="12"/>
      <c r="W535"/>
      <c r="Z535"/>
      <c r="AE535"/>
      <c r="AJ535"/>
      <c r="AK535"/>
      <c r="AO535"/>
      <c r="AP535"/>
      <c r="AT535"/>
    </row>
    <row r="536" spans="1:46">
      <c r="A536" s="24">
        <v>2019</v>
      </c>
      <c r="B536" s="24" t="s">
        <v>4</v>
      </c>
      <c r="C536" s="24" t="s">
        <v>5</v>
      </c>
      <c r="D536" s="24" t="s">
        <v>10</v>
      </c>
      <c r="E536" s="23">
        <v>23</v>
      </c>
      <c r="F536" s="24" t="s">
        <v>207</v>
      </c>
      <c r="G536" s="24" t="s">
        <v>225</v>
      </c>
      <c r="H536" s="23" t="s">
        <v>226</v>
      </c>
      <c r="I536" s="24" t="s">
        <v>226</v>
      </c>
      <c r="J536" s="23" t="s">
        <v>226</v>
      </c>
      <c r="K536" s="24" t="s">
        <v>226</v>
      </c>
      <c r="L536" s="23"/>
      <c r="M536" s="26" t="s">
        <v>428</v>
      </c>
      <c r="N536" s="24">
        <v>2020</v>
      </c>
      <c r="P536" s="20"/>
      <c r="U536" s="12"/>
      <c r="W536"/>
      <c r="Z536"/>
      <c r="AE536"/>
      <c r="AJ536"/>
      <c r="AK536"/>
      <c r="AO536"/>
      <c r="AP536"/>
      <c r="AT536"/>
    </row>
    <row r="537" spans="1:46">
      <c r="A537" s="24">
        <v>2019</v>
      </c>
      <c r="B537" s="24" t="s">
        <v>136</v>
      </c>
      <c r="C537" s="24" t="s">
        <v>168</v>
      </c>
      <c r="D537" s="24" t="s">
        <v>170</v>
      </c>
      <c r="E537" s="23">
        <v>1</v>
      </c>
      <c r="F537" s="24" t="s">
        <v>211</v>
      </c>
      <c r="G537" s="24" t="s">
        <v>225</v>
      </c>
      <c r="H537" s="23" t="s">
        <v>226</v>
      </c>
      <c r="I537" s="24" t="s">
        <v>226</v>
      </c>
      <c r="J537" s="23" t="s">
        <v>226</v>
      </c>
      <c r="K537" s="24" t="s">
        <v>226</v>
      </c>
      <c r="L537" s="23"/>
      <c r="M537" s="26" t="s">
        <v>428</v>
      </c>
      <c r="N537" s="24">
        <v>2020</v>
      </c>
      <c r="P537" s="20"/>
      <c r="U537" s="12"/>
      <c r="W537"/>
      <c r="Z537"/>
      <c r="AE537"/>
      <c r="AJ537"/>
      <c r="AK537"/>
      <c r="AO537"/>
      <c r="AP537"/>
      <c r="AT537"/>
    </row>
    <row r="538" spans="1:46">
      <c r="A538" s="24">
        <v>2019</v>
      </c>
      <c r="B538" s="24" t="s">
        <v>4</v>
      </c>
      <c r="C538" s="24" t="s">
        <v>5</v>
      </c>
      <c r="D538" s="24" t="s">
        <v>11</v>
      </c>
      <c r="E538" s="23">
        <v>2</v>
      </c>
      <c r="F538" s="24" t="s">
        <v>207</v>
      </c>
      <c r="G538" s="24" t="s">
        <v>225</v>
      </c>
      <c r="H538" s="23" t="s">
        <v>226</v>
      </c>
      <c r="I538" s="24" t="s">
        <v>225</v>
      </c>
      <c r="J538" s="23" t="s">
        <v>226</v>
      </c>
      <c r="K538" s="24" t="s">
        <v>226</v>
      </c>
      <c r="L538" s="23"/>
      <c r="M538" s="26" t="s">
        <v>428</v>
      </c>
      <c r="N538" s="24">
        <v>2020</v>
      </c>
      <c r="P538" s="20"/>
      <c r="U538" s="12"/>
      <c r="W538"/>
      <c r="Z538"/>
      <c r="AE538"/>
      <c r="AJ538"/>
      <c r="AK538"/>
      <c r="AO538"/>
      <c r="AP538"/>
      <c r="AT538"/>
    </row>
    <row r="539" spans="1:46">
      <c r="A539" s="24">
        <v>2019</v>
      </c>
      <c r="B539" s="24" t="s">
        <v>4</v>
      </c>
      <c r="C539" s="24" t="s">
        <v>203</v>
      </c>
      <c r="D539" s="24" t="s">
        <v>40</v>
      </c>
      <c r="E539" s="23">
        <v>19</v>
      </c>
      <c r="F539" s="24" t="s">
        <v>207</v>
      </c>
      <c r="G539" s="24" t="s">
        <v>225</v>
      </c>
      <c r="H539" s="23" t="s">
        <v>226</v>
      </c>
      <c r="I539" s="24" t="s">
        <v>226</v>
      </c>
      <c r="J539" s="23" t="s">
        <v>226</v>
      </c>
      <c r="K539" s="24" t="s">
        <v>226</v>
      </c>
      <c r="L539" s="23"/>
      <c r="M539" s="26" t="s">
        <v>429</v>
      </c>
      <c r="N539" s="24">
        <v>2020</v>
      </c>
      <c r="P539" s="20"/>
      <c r="U539" s="12"/>
      <c r="W539"/>
      <c r="Z539"/>
      <c r="AE539"/>
      <c r="AJ539"/>
      <c r="AK539"/>
      <c r="AO539"/>
      <c r="AP539"/>
      <c r="AT539"/>
    </row>
    <row r="540" spans="1:46">
      <c r="A540" s="24">
        <v>2019</v>
      </c>
      <c r="B540" s="24" t="s">
        <v>4</v>
      </c>
      <c r="C540" s="24" t="s">
        <v>203</v>
      </c>
      <c r="D540" s="24" t="s">
        <v>42</v>
      </c>
      <c r="E540" s="23">
        <v>14</v>
      </c>
      <c r="F540" s="24" t="s">
        <v>211</v>
      </c>
      <c r="G540" s="24" t="s">
        <v>225</v>
      </c>
      <c r="H540" s="23" t="s">
        <v>226</v>
      </c>
      <c r="I540" s="24" t="s">
        <v>226</v>
      </c>
      <c r="J540" s="23" t="s">
        <v>226</v>
      </c>
      <c r="K540" s="24" t="s">
        <v>225</v>
      </c>
      <c r="L540" s="23"/>
      <c r="M540" s="26" t="s">
        <v>429</v>
      </c>
      <c r="N540" s="24">
        <v>2020</v>
      </c>
      <c r="P540" s="20"/>
      <c r="U540" s="12"/>
      <c r="W540"/>
      <c r="Z540"/>
      <c r="AE540"/>
      <c r="AJ540"/>
      <c r="AK540"/>
      <c r="AO540"/>
      <c r="AP540"/>
      <c r="AT540"/>
    </row>
    <row r="541" spans="1:46">
      <c r="A541" s="24">
        <v>2019</v>
      </c>
      <c r="B541" s="24" t="s">
        <v>4</v>
      </c>
      <c r="C541" s="24" t="s">
        <v>5</v>
      </c>
      <c r="D541" s="24" t="s">
        <v>13</v>
      </c>
      <c r="E541" s="23">
        <v>14</v>
      </c>
      <c r="F541" s="24" t="s">
        <v>211</v>
      </c>
      <c r="G541" s="24" t="s">
        <v>225</v>
      </c>
      <c r="H541" s="23" t="s">
        <v>226</v>
      </c>
      <c r="I541" s="24" t="s">
        <v>226</v>
      </c>
      <c r="J541" s="23" t="s">
        <v>226</v>
      </c>
      <c r="K541" s="24" t="s">
        <v>225</v>
      </c>
      <c r="L541" s="23"/>
      <c r="M541" s="26" t="s">
        <v>430</v>
      </c>
      <c r="N541" s="24">
        <v>2020</v>
      </c>
      <c r="P541" s="20"/>
      <c r="U541" s="12"/>
      <c r="W541"/>
      <c r="Z541"/>
      <c r="AE541"/>
      <c r="AJ541"/>
      <c r="AK541"/>
      <c r="AO541"/>
      <c r="AP541"/>
      <c r="AT541"/>
    </row>
    <row r="542" spans="1:46">
      <c r="A542" s="24">
        <v>2019</v>
      </c>
      <c r="B542" s="24" t="s">
        <v>4</v>
      </c>
      <c r="C542" s="24" t="s">
        <v>18</v>
      </c>
      <c r="D542" s="24" t="s">
        <v>20</v>
      </c>
      <c r="E542" s="23">
        <v>1</v>
      </c>
      <c r="F542" s="24" t="s">
        <v>207</v>
      </c>
      <c r="G542" s="24" t="s">
        <v>225</v>
      </c>
      <c r="H542" s="23" t="s">
        <v>225</v>
      </c>
      <c r="I542" s="24" t="s">
        <v>225</v>
      </c>
      <c r="J542" s="23" t="s">
        <v>226</v>
      </c>
      <c r="K542" s="24" t="s">
        <v>225</v>
      </c>
      <c r="L542" s="23"/>
      <c r="M542" s="26" t="s">
        <v>430</v>
      </c>
      <c r="N542" s="24">
        <v>2020</v>
      </c>
      <c r="P542" s="20"/>
      <c r="U542" s="12"/>
      <c r="W542"/>
      <c r="Z542"/>
      <c r="AE542"/>
      <c r="AJ542"/>
      <c r="AK542"/>
      <c r="AO542"/>
      <c r="AP542"/>
      <c r="AT542"/>
    </row>
    <row r="543" spans="1:46">
      <c r="A543" s="24">
        <v>2019</v>
      </c>
      <c r="B543" s="24" t="s">
        <v>78</v>
      </c>
      <c r="C543" s="24" t="s">
        <v>122</v>
      </c>
      <c r="D543" s="24" t="s">
        <v>368</v>
      </c>
      <c r="E543" s="23"/>
      <c r="F543" s="24" t="s">
        <v>207</v>
      </c>
      <c r="G543" s="24" t="s">
        <v>225</v>
      </c>
      <c r="H543" s="23" t="s">
        <v>225</v>
      </c>
      <c r="I543" s="24" t="s">
        <v>226</v>
      </c>
      <c r="J543" s="23" t="s">
        <v>226</v>
      </c>
      <c r="K543" s="24" t="s">
        <v>226</v>
      </c>
      <c r="L543" s="23"/>
      <c r="M543" s="26" t="s">
        <v>430</v>
      </c>
      <c r="N543" s="24">
        <v>2020</v>
      </c>
      <c r="P543" s="20"/>
      <c r="U543" s="12"/>
      <c r="W543"/>
      <c r="Z543"/>
      <c r="AE543"/>
      <c r="AJ543"/>
      <c r="AK543"/>
      <c r="AO543"/>
      <c r="AP543"/>
      <c r="AT543"/>
    </row>
    <row r="544" spans="1:46">
      <c r="A544" s="24">
        <v>2019</v>
      </c>
      <c r="B544" s="24" t="s">
        <v>136</v>
      </c>
      <c r="C544" s="24" t="s">
        <v>176</v>
      </c>
      <c r="D544" s="24" t="s">
        <v>181</v>
      </c>
      <c r="E544" s="23">
        <v>1</v>
      </c>
      <c r="F544" s="24" t="s">
        <v>207</v>
      </c>
      <c r="G544" s="24" t="s">
        <v>225</v>
      </c>
      <c r="H544" s="23" t="s">
        <v>226</v>
      </c>
      <c r="I544" s="24" t="s">
        <v>226</v>
      </c>
      <c r="J544" s="23" t="s">
        <v>226</v>
      </c>
      <c r="K544" s="24" t="s">
        <v>226</v>
      </c>
      <c r="L544" s="23"/>
      <c r="M544" s="26" t="s">
        <v>430</v>
      </c>
      <c r="N544" s="24">
        <v>2020</v>
      </c>
    </row>
    <row r="545" spans="1:14">
      <c r="A545" s="24">
        <v>2019</v>
      </c>
      <c r="B545" s="24" t="s">
        <v>136</v>
      </c>
      <c r="C545" s="24" t="s">
        <v>189</v>
      </c>
      <c r="D545" s="24" t="s">
        <v>258</v>
      </c>
      <c r="E545" s="23">
        <v>3</v>
      </c>
      <c r="F545" s="24" t="s">
        <v>211</v>
      </c>
      <c r="G545" s="24" t="s">
        <v>225</v>
      </c>
      <c r="H545" s="23" t="s">
        <v>226</v>
      </c>
      <c r="I545" s="24" t="s">
        <v>225</v>
      </c>
      <c r="J545" s="23" t="s">
        <v>226</v>
      </c>
      <c r="K545" s="24" t="s">
        <v>226</v>
      </c>
      <c r="L545" s="23"/>
      <c r="M545" s="26" t="s">
        <v>430</v>
      </c>
      <c r="N545" s="24">
        <v>2020</v>
      </c>
    </row>
    <row r="546" spans="1:14">
      <c r="A546" s="24">
        <v>2019</v>
      </c>
      <c r="B546" s="24" t="s">
        <v>78</v>
      </c>
      <c r="C546" s="24" t="s">
        <v>103</v>
      </c>
      <c r="D546" s="24" t="s">
        <v>108</v>
      </c>
      <c r="E546" s="23">
        <v>5</v>
      </c>
      <c r="F546" s="24" t="s">
        <v>207</v>
      </c>
      <c r="G546" s="24" t="s">
        <v>225</v>
      </c>
      <c r="H546" s="23" t="s">
        <v>226</v>
      </c>
      <c r="I546" s="24" t="s">
        <v>226</v>
      </c>
      <c r="J546" s="23" t="s">
        <v>226</v>
      </c>
      <c r="K546" s="24" t="s">
        <v>226</v>
      </c>
      <c r="L546" s="23"/>
      <c r="M546" s="26" t="s">
        <v>430</v>
      </c>
      <c r="N546" s="24">
        <v>2020</v>
      </c>
    </row>
    <row r="547" spans="1:14">
      <c r="A547" s="24">
        <v>2019</v>
      </c>
      <c r="B547" s="24" t="s">
        <v>136</v>
      </c>
      <c r="C547" s="24" t="s">
        <v>152</v>
      </c>
      <c r="D547" s="24" t="s">
        <v>157</v>
      </c>
      <c r="E547" s="28">
        <v>4</v>
      </c>
      <c r="F547" s="24" t="s">
        <v>207</v>
      </c>
      <c r="G547" s="24" t="s">
        <v>225</v>
      </c>
      <c r="H547" s="23" t="s">
        <v>225</v>
      </c>
      <c r="I547" s="24" t="s">
        <v>225</v>
      </c>
      <c r="J547" s="23" t="s">
        <v>226</v>
      </c>
      <c r="K547" s="24" t="s">
        <v>225</v>
      </c>
      <c r="L547" s="23"/>
      <c r="M547" s="26" t="s">
        <v>430</v>
      </c>
      <c r="N547" s="24">
        <v>2020</v>
      </c>
    </row>
    <row r="548" spans="1:14">
      <c r="A548" s="24">
        <v>2019</v>
      </c>
      <c r="B548" s="24" t="s">
        <v>4</v>
      </c>
      <c r="C548" s="24" t="s">
        <v>203</v>
      </c>
      <c r="D548" s="24" t="s">
        <v>39</v>
      </c>
      <c r="E548" s="23">
        <v>5</v>
      </c>
      <c r="F548" s="24" t="s">
        <v>211</v>
      </c>
      <c r="G548" s="24" t="s">
        <v>225</v>
      </c>
      <c r="H548" s="23" t="s">
        <v>226</v>
      </c>
      <c r="I548" s="24" t="s">
        <v>226</v>
      </c>
      <c r="J548" s="23" t="s">
        <v>226</v>
      </c>
      <c r="K548" s="24" t="s">
        <v>225</v>
      </c>
      <c r="L548" s="23"/>
      <c r="M548" s="26" t="s">
        <v>431</v>
      </c>
      <c r="N548" s="24">
        <v>2020</v>
      </c>
    </row>
    <row r="549" spans="1:14">
      <c r="A549" s="24">
        <v>2019</v>
      </c>
      <c r="B549" s="24" t="s">
        <v>136</v>
      </c>
      <c r="C549" s="24" t="s">
        <v>152</v>
      </c>
      <c r="D549" s="24" t="s">
        <v>155</v>
      </c>
      <c r="E549" s="23">
        <v>1</v>
      </c>
      <c r="F549" s="24" t="s">
        <v>211</v>
      </c>
      <c r="G549" s="24" t="s">
        <v>225</v>
      </c>
      <c r="H549" s="23" t="s">
        <v>226</v>
      </c>
      <c r="I549" s="24" t="s">
        <v>226</v>
      </c>
      <c r="J549" s="23" t="s">
        <v>226</v>
      </c>
      <c r="K549" s="24" t="s">
        <v>225</v>
      </c>
      <c r="L549" s="23"/>
      <c r="M549" s="26" t="s">
        <v>432</v>
      </c>
      <c r="N549" s="24">
        <v>2020</v>
      </c>
    </row>
    <row r="550" spans="1:14">
      <c r="A550" s="24">
        <v>2019</v>
      </c>
      <c r="B550" s="24" t="s">
        <v>136</v>
      </c>
      <c r="C550" s="24" t="s">
        <v>684</v>
      </c>
      <c r="D550" s="24" t="s">
        <v>433</v>
      </c>
      <c r="E550" s="23"/>
      <c r="F550" s="24" t="s">
        <v>207</v>
      </c>
      <c r="G550" s="24" t="s">
        <v>225</v>
      </c>
      <c r="H550" s="23" t="s">
        <v>225</v>
      </c>
      <c r="I550" s="24" t="s">
        <v>225</v>
      </c>
      <c r="J550" s="23" t="s">
        <v>226</v>
      </c>
      <c r="K550" s="24" t="s">
        <v>225</v>
      </c>
      <c r="L550" s="23"/>
      <c r="M550" s="26" t="s">
        <v>434</v>
      </c>
      <c r="N550" s="24">
        <v>2020</v>
      </c>
    </row>
    <row r="551" spans="1:14">
      <c r="A551" s="24">
        <v>2019</v>
      </c>
      <c r="B551" s="24" t="s">
        <v>4</v>
      </c>
      <c r="C551" s="24" t="s">
        <v>31</v>
      </c>
      <c r="D551" s="24" t="s">
        <v>32</v>
      </c>
      <c r="E551" s="23">
        <v>5</v>
      </c>
      <c r="F551" s="24" t="s">
        <v>207</v>
      </c>
      <c r="G551" s="24" t="s">
        <v>225</v>
      </c>
      <c r="H551" s="23" t="s">
        <v>226</v>
      </c>
      <c r="I551" s="24" t="s">
        <v>226</v>
      </c>
      <c r="J551" s="23" t="s">
        <v>226</v>
      </c>
      <c r="K551" s="24" t="s">
        <v>225</v>
      </c>
      <c r="L551" s="23"/>
      <c r="M551" s="26" t="s">
        <v>434</v>
      </c>
      <c r="N551" s="24">
        <v>2020</v>
      </c>
    </row>
    <row r="552" spans="1:14">
      <c r="A552" s="24">
        <v>2019</v>
      </c>
      <c r="B552" s="24" t="s">
        <v>136</v>
      </c>
      <c r="C552" s="24" t="s">
        <v>176</v>
      </c>
      <c r="D552" s="24" t="s">
        <v>178</v>
      </c>
      <c r="E552" s="23">
        <v>1</v>
      </c>
      <c r="F552" s="24" t="s">
        <v>207</v>
      </c>
      <c r="G552" s="24" t="s">
        <v>225</v>
      </c>
      <c r="H552" s="23" t="s">
        <v>226</v>
      </c>
      <c r="I552" s="24" t="s">
        <v>226</v>
      </c>
      <c r="J552" s="23" t="s">
        <v>226</v>
      </c>
      <c r="K552" s="24" t="s">
        <v>226</v>
      </c>
      <c r="L552" s="23"/>
      <c r="M552" s="25">
        <v>43892</v>
      </c>
      <c r="N552" s="24">
        <v>2020</v>
      </c>
    </row>
    <row r="553" spans="1:14">
      <c r="A553" s="24">
        <v>2019</v>
      </c>
      <c r="B553" s="24" t="s">
        <v>4</v>
      </c>
      <c r="C553" s="24" t="s">
        <v>203</v>
      </c>
      <c r="D553" s="24" t="s">
        <v>40</v>
      </c>
      <c r="E553" s="23">
        <v>5</v>
      </c>
      <c r="F553" s="24" t="s">
        <v>211</v>
      </c>
      <c r="G553" s="24" t="s">
        <v>225</v>
      </c>
      <c r="H553" s="23" t="s">
        <v>226</v>
      </c>
      <c r="I553" s="24" t="s">
        <v>226</v>
      </c>
      <c r="J553" s="23" t="s">
        <v>226</v>
      </c>
      <c r="K553" s="24" t="s">
        <v>225</v>
      </c>
      <c r="L553" s="23"/>
      <c r="M553" s="25">
        <v>43893</v>
      </c>
      <c r="N553" s="24">
        <v>2020</v>
      </c>
    </row>
    <row r="554" spans="1:14">
      <c r="A554" s="24">
        <v>2019</v>
      </c>
      <c r="B554" s="24" t="s">
        <v>136</v>
      </c>
      <c r="C554" s="24" t="s">
        <v>137</v>
      </c>
      <c r="D554" s="24" t="s">
        <v>144</v>
      </c>
      <c r="E554" s="23">
        <v>27</v>
      </c>
      <c r="F554" s="24" t="s">
        <v>211</v>
      </c>
      <c r="G554" s="24" t="s">
        <v>225</v>
      </c>
      <c r="H554" s="23" t="s">
        <v>226</v>
      </c>
      <c r="I554" s="24" t="s">
        <v>226</v>
      </c>
      <c r="J554" s="23" t="s">
        <v>226</v>
      </c>
      <c r="K554" s="24" t="s">
        <v>225</v>
      </c>
      <c r="L554" s="23"/>
      <c r="M554" s="25">
        <v>43893</v>
      </c>
      <c r="N554" s="24">
        <v>2020</v>
      </c>
    </row>
    <row r="555" spans="1:14">
      <c r="A555" s="24">
        <v>2019</v>
      </c>
      <c r="B555" s="24" t="s">
        <v>136</v>
      </c>
      <c r="C555" s="24" t="s">
        <v>146</v>
      </c>
      <c r="D555" s="24" t="s">
        <v>435</v>
      </c>
      <c r="E555" s="23">
        <v>10</v>
      </c>
      <c r="F555" s="24" t="s">
        <v>207</v>
      </c>
      <c r="G555" s="24" t="s">
        <v>225</v>
      </c>
      <c r="H555" s="23" t="s">
        <v>226</v>
      </c>
      <c r="I555" s="24" t="s">
        <v>225</v>
      </c>
      <c r="J555" s="23" t="s">
        <v>226</v>
      </c>
      <c r="K555" s="24" t="s">
        <v>225</v>
      </c>
      <c r="L555" s="23"/>
      <c r="M555" s="25">
        <v>43896</v>
      </c>
      <c r="N555" s="24">
        <v>2020</v>
      </c>
    </row>
    <row r="556" spans="1:14">
      <c r="A556" s="24">
        <v>2019</v>
      </c>
      <c r="B556" s="24" t="s">
        <v>136</v>
      </c>
      <c r="C556" s="24" t="s">
        <v>176</v>
      </c>
      <c r="D556" s="24" t="s">
        <v>181</v>
      </c>
      <c r="E556" s="23"/>
      <c r="F556" s="24" t="s">
        <v>207</v>
      </c>
      <c r="G556" s="24" t="s">
        <v>225</v>
      </c>
      <c r="H556" s="23" t="s">
        <v>225</v>
      </c>
      <c r="I556" s="24" t="s">
        <v>225</v>
      </c>
      <c r="J556" s="23" t="s">
        <v>226</v>
      </c>
      <c r="K556" s="24" t="s">
        <v>225</v>
      </c>
      <c r="L556" s="23"/>
      <c r="M556" s="25">
        <v>43897</v>
      </c>
      <c r="N556" s="24">
        <v>2020</v>
      </c>
    </row>
    <row r="557" spans="1:14">
      <c r="A557" s="24">
        <v>2019</v>
      </c>
      <c r="B557" s="24" t="s">
        <v>78</v>
      </c>
      <c r="C557" s="24" t="s">
        <v>683</v>
      </c>
      <c r="D557" s="24" t="s">
        <v>113</v>
      </c>
      <c r="E557" s="23">
        <v>5</v>
      </c>
      <c r="F557" s="24" t="s">
        <v>207</v>
      </c>
      <c r="G557" s="24" t="s">
        <v>225</v>
      </c>
      <c r="H557" s="23" t="s">
        <v>226</v>
      </c>
      <c r="I557" s="24" t="s">
        <v>225</v>
      </c>
      <c r="J557" s="23" t="s">
        <v>226</v>
      </c>
      <c r="K557" s="24" t="s">
        <v>225</v>
      </c>
      <c r="L557" s="23"/>
      <c r="M557" s="25">
        <v>43897</v>
      </c>
      <c r="N557" s="24">
        <v>2020</v>
      </c>
    </row>
    <row r="558" spans="1:14">
      <c r="A558" s="24">
        <v>2019</v>
      </c>
      <c r="B558" s="24" t="s">
        <v>78</v>
      </c>
      <c r="C558" s="24" t="s">
        <v>122</v>
      </c>
      <c r="D558" s="24" t="s">
        <v>123</v>
      </c>
      <c r="E558" s="23"/>
      <c r="F558" s="24" t="s">
        <v>207</v>
      </c>
      <c r="G558" s="24" t="s">
        <v>225</v>
      </c>
      <c r="H558" s="23" t="s">
        <v>225</v>
      </c>
      <c r="I558" s="24" t="s">
        <v>225</v>
      </c>
      <c r="J558" s="23" t="s">
        <v>226</v>
      </c>
      <c r="K558" s="24" t="s">
        <v>225</v>
      </c>
      <c r="L558" s="23"/>
      <c r="M558" s="26" t="s">
        <v>436</v>
      </c>
      <c r="N558" s="24">
        <v>2020</v>
      </c>
    </row>
    <row r="559" spans="1:14">
      <c r="A559" s="24">
        <v>2019</v>
      </c>
      <c r="B559" s="24" t="s">
        <v>136</v>
      </c>
      <c r="C559" s="24" t="s">
        <v>682</v>
      </c>
      <c r="D559" s="24" t="s">
        <v>167</v>
      </c>
      <c r="E559" s="23">
        <v>1</v>
      </c>
      <c r="F559" s="24" t="s">
        <v>211</v>
      </c>
      <c r="G559" s="23" t="s">
        <v>226</v>
      </c>
      <c r="H559" s="23" t="s">
        <v>226</v>
      </c>
      <c r="I559" s="24" t="s">
        <v>225</v>
      </c>
      <c r="J559" s="23" t="s">
        <v>226</v>
      </c>
      <c r="K559" s="24" t="s">
        <v>225</v>
      </c>
      <c r="L559" s="23"/>
      <c r="M559" s="26" t="s">
        <v>437</v>
      </c>
      <c r="N559" s="24">
        <v>2020</v>
      </c>
    </row>
    <row r="560" spans="1:14">
      <c r="A560" s="24">
        <v>2019</v>
      </c>
      <c r="B560" s="24" t="s">
        <v>78</v>
      </c>
      <c r="C560" s="24" t="s">
        <v>80</v>
      </c>
      <c r="D560" s="24" t="s">
        <v>87</v>
      </c>
      <c r="E560" s="23">
        <v>5</v>
      </c>
      <c r="F560" s="24" t="s">
        <v>207</v>
      </c>
      <c r="G560" s="24" t="s">
        <v>225</v>
      </c>
      <c r="H560" s="23" t="s">
        <v>226</v>
      </c>
      <c r="I560" s="24" t="s">
        <v>226</v>
      </c>
      <c r="J560" s="23" t="s">
        <v>226</v>
      </c>
      <c r="K560" s="24" t="s">
        <v>225</v>
      </c>
      <c r="L560" s="23"/>
      <c r="M560" s="26" t="s">
        <v>438</v>
      </c>
      <c r="N560" s="24">
        <v>2020</v>
      </c>
    </row>
    <row r="561" spans="1:14">
      <c r="A561" s="24">
        <v>2019</v>
      </c>
      <c r="B561" s="24" t="s">
        <v>78</v>
      </c>
      <c r="C561" s="24" t="s">
        <v>122</v>
      </c>
      <c r="D561" s="24" t="s">
        <v>130</v>
      </c>
      <c r="E561" s="23">
        <v>11</v>
      </c>
      <c r="F561" s="24" t="s">
        <v>207</v>
      </c>
      <c r="G561" s="24" t="s">
        <v>225</v>
      </c>
      <c r="H561" s="23" t="s">
        <v>226</v>
      </c>
      <c r="I561" s="24" t="s">
        <v>226</v>
      </c>
      <c r="J561" s="23" t="s">
        <v>226</v>
      </c>
      <c r="K561" s="24" t="s">
        <v>225</v>
      </c>
      <c r="L561" s="23"/>
      <c r="M561" s="26" t="s">
        <v>438</v>
      </c>
      <c r="N561" s="24">
        <v>2020</v>
      </c>
    </row>
    <row r="562" spans="1:14">
      <c r="A562" s="24">
        <v>2019</v>
      </c>
      <c r="B562" s="24" t="s">
        <v>4</v>
      </c>
      <c r="C562" s="24" t="s">
        <v>5</v>
      </c>
      <c r="D562" s="24" t="s">
        <v>8</v>
      </c>
      <c r="E562" s="23">
        <v>5</v>
      </c>
      <c r="F562" s="24" t="s">
        <v>207</v>
      </c>
      <c r="G562" s="24" t="s">
        <v>225</v>
      </c>
      <c r="H562" s="23" t="s">
        <v>226</v>
      </c>
      <c r="I562" s="24" t="s">
        <v>226</v>
      </c>
      <c r="J562" s="23" t="s">
        <v>226</v>
      </c>
      <c r="K562" s="24" t="s">
        <v>225</v>
      </c>
      <c r="L562" s="23"/>
      <c r="M562" s="26" t="s">
        <v>439</v>
      </c>
      <c r="N562" s="24">
        <v>2020</v>
      </c>
    </row>
    <row r="563" spans="1:14">
      <c r="A563" s="24">
        <v>2019</v>
      </c>
      <c r="B563" s="24" t="s">
        <v>4</v>
      </c>
      <c r="C563" s="24" t="s">
        <v>18</v>
      </c>
      <c r="D563" s="24" t="s">
        <v>22</v>
      </c>
      <c r="E563" s="23">
        <v>15</v>
      </c>
      <c r="F563" s="24" t="s">
        <v>211</v>
      </c>
      <c r="G563" s="24" t="s">
        <v>225</v>
      </c>
      <c r="H563" s="23" t="s">
        <v>226</v>
      </c>
      <c r="I563" s="24" t="s">
        <v>225</v>
      </c>
      <c r="J563" s="23" t="s">
        <v>226</v>
      </c>
      <c r="K563" s="24" t="s">
        <v>225</v>
      </c>
      <c r="L563" s="23"/>
      <c r="M563" s="25">
        <v>43927</v>
      </c>
      <c r="N563" s="24">
        <v>2020</v>
      </c>
    </row>
    <row r="564" spans="1:14">
      <c r="A564" s="24">
        <v>2019</v>
      </c>
      <c r="B564" s="24" t="s">
        <v>4</v>
      </c>
      <c r="C564" s="24" t="s">
        <v>23</v>
      </c>
      <c r="D564" s="24" t="s">
        <v>25</v>
      </c>
      <c r="E564" s="23">
        <v>4</v>
      </c>
      <c r="F564" s="24" t="s">
        <v>211</v>
      </c>
      <c r="G564" s="24" t="s">
        <v>225</v>
      </c>
      <c r="H564" s="23" t="s">
        <v>226</v>
      </c>
      <c r="I564" s="24" t="s">
        <v>225</v>
      </c>
      <c r="J564" s="23" t="s">
        <v>226</v>
      </c>
      <c r="K564" s="24" t="s">
        <v>225</v>
      </c>
      <c r="L564" s="23"/>
      <c r="M564" s="25">
        <v>43930</v>
      </c>
      <c r="N564" s="24">
        <v>2020</v>
      </c>
    </row>
    <row r="565" spans="1:14">
      <c r="A565" s="24">
        <v>2019</v>
      </c>
      <c r="B565" s="24" t="s">
        <v>78</v>
      </c>
      <c r="C565" s="24" t="s">
        <v>122</v>
      </c>
      <c r="D565" s="24" t="s">
        <v>130</v>
      </c>
      <c r="E565" s="23">
        <v>14</v>
      </c>
      <c r="F565" s="24" t="s">
        <v>211</v>
      </c>
      <c r="G565" s="24" t="s">
        <v>225</v>
      </c>
      <c r="H565" s="23" t="s">
        <v>226</v>
      </c>
      <c r="I565" s="24" t="s">
        <v>226</v>
      </c>
      <c r="J565" s="23" t="s">
        <v>226</v>
      </c>
      <c r="K565" s="24" t="s">
        <v>225</v>
      </c>
      <c r="L565" s="23"/>
      <c r="M565" s="25">
        <v>43930</v>
      </c>
      <c r="N565" s="24">
        <v>2020</v>
      </c>
    </row>
    <row r="566" spans="1:14">
      <c r="A566" s="24">
        <v>2019</v>
      </c>
      <c r="B566" s="24" t="s">
        <v>78</v>
      </c>
      <c r="C566" s="24" t="s">
        <v>119</v>
      </c>
      <c r="D566" s="24" t="s">
        <v>121</v>
      </c>
      <c r="E566" s="23">
        <v>3</v>
      </c>
      <c r="F566" s="24" t="s">
        <v>207</v>
      </c>
      <c r="G566" s="24" t="s">
        <v>225</v>
      </c>
      <c r="H566" s="23" t="s">
        <v>226</v>
      </c>
      <c r="I566" s="24" t="s">
        <v>225</v>
      </c>
      <c r="J566" s="23" t="s">
        <v>226</v>
      </c>
      <c r="K566" s="24" t="s">
        <v>225</v>
      </c>
      <c r="L566" s="23"/>
      <c r="M566" s="26" t="s">
        <v>440</v>
      </c>
      <c r="N566" s="24">
        <v>2020</v>
      </c>
    </row>
    <row r="567" spans="1:14">
      <c r="A567" s="24">
        <v>2019</v>
      </c>
      <c r="B567" s="24" t="s">
        <v>78</v>
      </c>
      <c r="C567" s="24" t="s">
        <v>79</v>
      </c>
      <c r="D567" s="24" t="s">
        <v>342</v>
      </c>
      <c r="E567" s="23"/>
      <c r="F567" s="24" t="s">
        <v>207</v>
      </c>
      <c r="G567" s="23" t="s">
        <v>226</v>
      </c>
      <c r="H567" s="23" t="s">
        <v>225</v>
      </c>
      <c r="I567" s="24" t="s">
        <v>225</v>
      </c>
      <c r="J567" s="23" t="s">
        <v>226</v>
      </c>
      <c r="K567" s="24" t="s">
        <v>225</v>
      </c>
      <c r="L567" s="23"/>
      <c r="M567" s="26" t="s">
        <v>441</v>
      </c>
      <c r="N567" s="24">
        <v>2020</v>
      </c>
    </row>
    <row r="568" spans="1:14">
      <c r="A568" s="24">
        <v>2019</v>
      </c>
      <c r="B568" s="24" t="s">
        <v>136</v>
      </c>
      <c r="C568" s="24" t="s">
        <v>189</v>
      </c>
      <c r="D568" s="24" t="s">
        <v>298</v>
      </c>
      <c r="E568" s="23">
        <v>2</v>
      </c>
      <c r="F568" s="24" t="s">
        <v>207</v>
      </c>
      <c r="G568" s="24" t="s">
        <v>225</v>
      </c>
      <c r="H568" s="23" t="s">
        <v>226</v>
      </c>
      <c r="I568" s="24" t="s">
        <v>225</v>
      </c>
      <c r="J568" s="23" t="s">
        <v>226</v>
      </c>
      <c r="K568" s="24" t="s">
        <v>225</v>
      </c>
      <c r="L568" s="23"/>
      <c r="M568" s="26" t="s">
        <v>442</v>
      </c>
      <c r="N568" s="24">
        <v>2020</v>
      </c>
    </row>
    <row r="569" spans="1:14">
      <c r="A569" s="24">
        <v>2019</v>
      </c>
      <c r="B569" s="24" t="s">
        <v>136</v>
      </c>
      <c r="C569" s="24" t="s">
        <v>152</v>
      </c>
      <c r="D569" s="24" t="s">
        <v>153</v>
      </c>
      <c r="E569" s="23">
        <v>6</v>
      </c>
      <c r="F569" s="24" t="s">
        <v>211</v>
      </c>
      <c r="G569" s="24" t="s">
        <v>225</v>
      </c>
      <c r="H569" s="23" t="s">
        <v>226</v>
      </c>
      <c r="I569" s="24" t="s">
        <v>226</v>
      </c>
      <c r="J569" s="23" t="s">
        <v>226</v>
      </c>
      <c r="K569" s="24" t="s">
        <v>225</v>
      </c>
      <c r="L569" s="23"/>
      <c r="M569" s="26" t="s">
        <v>443</v>
      </c>
      <c r="N569" s="24">
        <v>2020</v>
      </c>
    </row>
    <row r="570" spans="1:14">
      <c r="A570" s="24">
        <v>2019</v>
      </c>
      <c r="B570" s="24" t="s">
        <v>136</v>
      </c>
      <c r="C570" s="24" t="s">
        <v>176</v>
      </c>
      <c r="D570" s="24" t="s">
        <v>178</v>
      </c>
      <c r="E570" s="23">
        <v>1</v>
      </c>
      <c r="F570" s="24" t="s">
        <v>211</v>
      </c>
      <c r="G570" s="24" t="s">
        <v>225</v>
      </c>
      <c r="H570" s="23" t="s">
        <v>225</v>
      </c>
      <c r="I570" s="24" t="s">
        <v>225</v>
      </c>
      <c r="J570" s="23" t="s">
        <v>226</v>
      </c>
      <c r="K570" s="24" t="s">
        <v>225</v>
      </c>
      <c r="L570" s="23"/>
      <c r="M570" s="26" t="s">
        <v>444</v>
      </c>
      <c r="N570" s="24">
        <v>2020</v>
      </c>
    </row>
    <row r="571" spans="1:14">
      <c r="A571" s="24">
        <v>2019</v>
      </c>
      <c r="B571" s="24" t="s">
        <v>136</v>
      </c>
      <c r="C571" s="24" t="s">
        <v>137</v>
      </c>
      <c r="D571" s="24" t="s">
        <v>140</v>
      </c>
      <c r="E571" s="23">
        <v>2</v>
      </c>
      <c r="F571" s="24" t="s">
        <v>211</v>
      </c>
      <c r="G571" s="24" t="s">
        <v>225</v>
      </c>
      <c r="H571" s="23" t="s">
        <v>226</v>
      </c>
      <c r="I571" s="24" t="s">
        <v>225</v>
      </c>
      <c r="J571" s="23" t="s">
        <v>226</v>
      </c>
      <c r="K571" s="24" t="s">
        <v>225</v>
      </c>
      <c r="L571" s="23"/>
      <c r="M571" s="26" t="s">
        <v>445</v>
      </c>
      <c r="N571" s="24">
        <v>2020</v>
      </c>
    </row>
    <row r="572" spans="1:14">
      <c r="A572" s="24">
        <v>2019</v>
      </c>
      <c r="B572" s="24" t="s">
        <v>136</v>
      </c>
      <c r="C572" s="24" t="s">
        <v>137</v>
      </c>
      <c r="D572" s="24" t="s">
        <v>141</v>
      </c>
      <c r="E572" s="23">
        <v>3</v>
      </c>
      <c r="F572" s="24" t="s">
        <v>211</v>
      </c>
      <c r="G572" s="24" t="s">
        <v>225</v>
      </c>
      <c r="H572" s="23" t="s">
        <v>226</v>
      </c>
      <c r="I572" s="24" t="s">
        <v>225</v>
      </c>
      <c r="J572" s="23" t="s">
        <v>226</v>
      </c>
      <c r="K572" s="24" t="s">
        <v>225</v>
      </c>
      <c r="L572" s="23"/>
      <c r="M572" s="26" t="s">
        <v>446</v>
      </c>
      <c r="N572" s="24">
        <v>2020</v>
      </c>
    </row>
    <row r="573" spans="1:14">
      <c r="A573" s="24">
        <v>2019</v>
      </c>
      <c r="B573" s="24" t="s">
        <v>4</v>
      </c>
      <c r="C573" s="24" t="s">
        <v>23</v>
      </c>
      <c r="D573" s="24" t="s">
        <v>25</v>
      </c>
      <c r="E573" s="23">
        <v>7</v>
      </c>
      <c r="F573" s="24" t="s">
        <v>211</v>
      </c>
      <c r="G573" s="24" t="s">
        <v>225</v>
      </c>
      <c r="H573" s="23" t="s">
        <v>226</v>
      </c>
      <c r="I573" s="24" t="s">
        <v>226</v>
      </c>
      <c r="J573" s="23" t="s">
        <v>226</v>
      </c>
      <c r="K573" s="24" t="s">
        <v>226</v>
      </c>
      <c r="L573" s="23"/>
      <c r="M573" s="25">
        <v>43953</v>
      </c>
      <c r="N573" s="24">
        <v>2020</v>
      </c>
    </row>
    <row r="574" spans="1:14">
      <c r="A574" s="24">
        <v>2019</v>
      </c>
      <c r="B574" s="24" t="s">
        <v>136</v>
      </c>
      <c r="C574" s="24" t="s">
        <v>171</v>
      </c>
      <c r="D574" s="24" t="s">
        <v>172</v>
      </c>
      <c r="E574" s="23">
        <v>2</v>
      </c>
      <c r="F574" s="24" t="s">
        <v>207</v>
      </c>
      <c r="G574" s="24" t="s">
        <v>225</v>
      </c>
      <c r="H574" s="23" t="s">
        <v>226</v>
      </c>
      <c r="I574" s="24" t="s">
        <v>225</v>
      </c>
      <c r="J574" s="23" t="s">
        <v>226</v>
      </c>
      <c r="K574" s="24" t="s">
        <v>226</v>
      </c>
      <c r="L574" s="23"/>
      <c r="M574" s="25">
        <v>43953</v>
      </c>
      <c r="N574" s="24">
        <v>2020</v>
      </c>
    </row>
    <row r="575" spans="1:14">
      <c r="A575" s="24">
        <v>2019</v>
      </c>
      <c r="B575" s="24" t="s">
        <v>4</v>
      </c>
      <c r="C575" s="24" t="s">
        <v>31</v>
      </c>
      <c r="D575" s="24" t="s">
        <v>33</v>
      </c>
      <c r="E575" s="23">
        <v>1</v>
      </c>
      <c r="F575" s="24" t="s">
        <v>207</v>
      </c>
      <c r="G575" s="24" t="s">
        <v>225</v>
      </c>
      <c r="H575" s="23" t="s">
        <v>226</v>
      </c>
      <c r="I575" s="24" t="s">
        <v>225</v>
      </c>
      <c r="J575" s="23" t="s">
        <v>226</v>
      </c>
      <c r="K575" s="24" t="s">
        <v>226</v>
      </c>
      <c r="L575" s="23"/>
      <c r="M575" s="25">
        <v>43953</v>
      </c>
      <c r="N575" s="24">
        <v>2020</v>
      </c>
    </row>
    <row r="576" spans="1:14">
      <c r="A576" s="24">
        <v>2019</v>
      </c>
      <c r="B576" s="24" t="s">
        <v>4</v>
      </c>
      <c r="C576" s="24" t="s">
        <v>5</v>
      </c>
      <c r="D576" s="24" t="s">
        <v>8</v>
      </c>
      <c r="E576" s="23">
        <v>17</v>
      </c>
      <c r="F576" s="24" t="s">
        <v>211</v>
      </c>
      <c r="G576" s="24" t="s">
        <v>225</v>
      </c>
      <c r="H576" s="23" t="s">
        <v>226</v>
      </c>
      <c r="I576" s="24" t="s">
        <v>226</v>
      </c>
      <c r="J576" s="23" t="s">
        <v>226</v>
      </c>
      <c r="K576" s="24" t="s">
        <v>225</v>
      </c>
      <c r="L576" s="23"/>
      <c r="M576" s="25">
        <v>43954</v>
      </c>
      <c r="N576" s="24">
        <v>2020</v>
      </c>
    </row>
    <row r="577" spans="1:14">
      <c r="A577" s="24">
        <v>2019</v>
      </c>
      <c r="B577" s="24" t="s">
        <v>78</v>
      </c>
      <c r="C577" s="24" t="s">
        <v>681</v>
      </c>
      <c r="D577" s="24" t="s">
        <v>250</v>
      </c>
      <c r="E577" s="23">
        <v>1</v>
      </c>
      <c r="F577" s="24" t="s">
        <v>207</v>
      </c>
      <c r="G577" s="24" t="s">
        <v>225</v>
      </c>
      <c r="H577" s="23" t="s">
        <v>226</v>
      </c>
      <c r="I577" s="24" t="s">
        <v>225</v>
      </c>
      <c r="J577" s="23" t="s">
        <v>226</v>
      </c>
      <c r="K577" s="24" t="s">
        <v>225</v>
      </c>
      <c r="L577" s="23"/>
      <c r="M577" s="25">
        <v>43954</v>
      </c>
      <c r="N577" s="24">
        <v>2020</v>
      </c>
    </row>
    <row r="578" spans="1:14">
      <c r="A578" s="24">
        <v>2019</v>
      </c>
      <c r="B578" s="24" t="s">
        <v>136</v>
      </c>
      <c r="C578" s="24" t="s">
        <v>137</v>
      </c>
      <c r="D578" s="24" t="s">
        <v>143</v>
      </c>
      <c r="E578" s="23">
        <v>1</v>
      </c>
      <c r="F578" s="24" t="s">
        <v>211</v>
      </c>
      <c r="G578" s="24" t="s">
        <v>225</v>
      </c>
      <c r="H578" s="23" t="s">
        <v>226</v>
      </c>
      <c r="I578" s="24" t="s">
        <v>225</v>
      </c>
      <c r="J578" s="23" t="s">
        <v>226</v>
      </c>
      <c r="K578" s="24" t="s">
        <v>225</v>
      </c>
      <c r="L578" s="23"/>
      <c r="M578" s="25">
        <v>43954</v>
      </c>
      <c r="N578" s="24">
        <v>2020</v>
      </c>
    </row>
    <row r="579" spans="1:14">
      <c r="A579" s="24">
        <v>2019</v>
      </c>
      <c r="B579" s="24" t="s">
        <v>78</v>
      </c>
      <c r="C579" s="24" t="s">
        <v>80</v>
      </c>
      <c r="D579" s="24" t="s">
        <v>87</v>
      </c>
      <c r="E579" s="23">
        <v>4</v>
      </c>
      <c r="F579" s="24" t="s">
        <v>211</v>
      </c>
      <c r="G579" s="24" t="s">
        <v>225</v>
      </c>
      <c r="H579" s="23" t="s">
        <v>226</v>
      </c>
      <c r="I579" s="24" t="s">
        <v>225</v>
      </c>
      <c r="J579" s="23" t="s">
        <v>226</v>
      </c>
      <c r="K579" s="24" t="s">
        <v>225</v>
      </c>
      <c r="L579" s="23"/>
      <c r="M579" s="25">
        <v>43957</v>
      </c>
      <c r="N579" s="24">
        <v>2020</v>
      </c>
    </row>
    <row r="580" spans="1:14">
      <c r="A580" s="24">
        <v>2019</v>
      </c>
      <c r="B580" s="24" t="s">
        <v>136</v>
      </c>
      <c r="C580" s="24" t="s">
        <v>160</v>
      </c>
      <c r="D580" s="24" t="s">
        <v>206</v>
      </c>
      <c r="E580" s="23"/>
      <c r="F580" s="24" t="s">
        <v>207</v>
      </c>
      <c r="G580" s="24" t="s">
        <v>225</v>
      </c>
      <c r="H580" s="23" t="s">
        <v>225</v>
      </c>
      <c r="I580" s="24" t="s">
        <v>225</v>
      </c>
      <c r="J580" s="23" t="s">
        <v>226</v>
      </c>
      <c r="K580" s="24" t="s">
        <v>225</v>
      </c>
      <c r="L580" s="23"/>
      <c r="M580" s="26" t="s">
        <v>447</v>
      </c>
      <c r="N580" s="24">
        <v>2020</v>
      </c>
    </row>
    <row r="581" spans="1:14">
      <c r="A581" s="24">
        <v>2019</v>
      </c>
      <c r="B581" s="24" t="s">
        <v>136</v>
      </c>
      <c r="C581" s="24" t="s">
        <v>146</v>
      </c>
      <c r="D581" s="24" t="s">
        <v>151</v>
      </c>
      <c r="E581" s="23">
        <v>1</v>
      </c>
      <c r="F581" s="24" t="s">
        <v>207</v>
      </c>
      <c r="G581" s="24" t="s">
        <v>225</v>
      </c>
      <c r="H581" s="23" t="s">
        <v>226</v>
      </c>
      <c r="I581" s="24" t="s">
        <v>226</v>
      </c>
      <c r="J581" s="23" t="s">
        <v>226</v>
      </c>
      <c r="K581" s="24" t="s">
        <v>225</v>
      </c>
      <c r="L581" s="23"/>
      <c r="M581" s="26" t="s">
        <v>448</v>
      </c>
      <c r="N581" s="24">
        <v>2020</v>
      </c>
    </row>
    <row r="582" spans="1:14">
      <c r="A582" s="24">
        <v>2019</v>
      </c>
      <c r="B582" s="24" t="s">
        <v>136</v>
      </c>
      <c r="C582" s="24" t="s">
        <v>137</v>
      </c>
      <c r="D582" s="24" t="s">
        <v>145</v>
      </c>
      <c r="E582" s="23"/>
      <c r="F582" s="24" t="s">
        <v>207</v>
      </c>
      <c r="G582" s="24" t="s">
        <v>225</v>
      </c>
      <c r="H582" s="23" t="s">
        <v>225</v>
      </c>
      <c r="I582" s="24" t="s">
        <v>225</v>
      </c>
      <c r="J582" s="23" t="s">
        <v>226</v>
      </c>
      <c r="K582" s="24" t="s">
        <v>225</v>
      </c>
      <c r="L582" s="23"/>
      <c r="M582" s="26" t="s">
        <v>448</v>
      </c>
      <c r="N582" s="24">
        <v>2020</v>
      </c>
    </row>
    <row r="583" spans="1:14">
      <c r="A583" s="24">
        <v>2019</v>
      </c>
      <c r="B583" s="24" t="s">
        <v>136</v>
      </c>
      <c r="C583" s="24" t="s">
        <v>189</v>
      </c>
      <c r="D583" s="24" t="s">
        <v>196</v>
      </c>
      <c r="E583" s="23">
        <v>3</v>
      </c>
      <c r="F583" s="24" t="s">
        <v>211</v>
      </c>
      <c r="G583" s="23" t="s">
        <v>226</v>
      </c>
      <c r="H583" s="23" t="s">
        <v>226</v>
      </c>
      <c r="I583" s="24" t="s">
        <v>225</v>
      </c>
      <c r="J583" s="23" t="s">
        <v>226</v>
      </c>
      <c r="K583" s="24" t="s">
        <v>225</v>
      </c>
      <c r="L583" s="23"/>
      <c r="M583" s="26" t="s">
        <v>449</v>
      </c>
      <c r="N583" s="24">
        <v>2020</v>
      </c>
    </row>
    <row r="584" spans="1:14">
      <c r="A584" s="24">
        <v>2019</v>
      </c>
      <c r="B584" s="24" t="s">
        <v>136</v>
      </c>
      <c r="C584" s="24" t="s">
        <v>137</v>
      </c>
      <c r="D584" s="24" t="s">
        <v>144</v>
      </c>
      <c r="E584" s="23"/>
      <c r="F584" s="24" t="s">
        <v>207</v>
      </c>
      <c r="G584" s="24" t="s">
        <v>225</v>
      </c>
      <c r="H584" s="23" t="s">
        <v>225</v>
      </c>
      <c r="I584" s="24" t="s">
        <v>226</v>
      </c>
      <c r="J584" s="23" t="s">
        <v>226</v>
      </c>
      <c r="K584" s="24" t="s">
        <v>225</v>
      </c>
      <c r="L584" s="23"/>
      <c r="M584" s="26" t="s">
        <v>449</v>
      </c>
      <c r="N584" s="24">
        <v>2020</v>
      </c>
    </row>
    <row r="585" spans="1:14">
      <c r="A585" s="24">
        <v>2019</v>
      </c>
      <c r="B585" s="24" t="s">
        <v>136</v>
      </c>
      <c r="C585" s="24" t="s">
        <v>137</v>
      </c>
      <c r="D585" s="24" t="s">
        <v>141</v>
      </c>
      <c r="E585" s="23">
        <v>39</v>
      </c>
      <c r="F585" s="24" t="s">
        <v>207</v>
      </c>
      <c r="G585" s="24" t="s">
        <v>225</v>
      </c>
      <c r="H585" s="23" t="s">
        <v>226</v>
      </c>
      <c r="I585" s="24" t="s">
        <v>226</v>
      </c>
      <c r="J585" s="23" t="s">
        <v>226</v>
      </c>
      <c r="K585" s="24" t="s">
        <v>225</v>
      </c>
      <c r="L585" s="23"/>
      <c r="M585" s="26" t="s">
        <v>450</v>
      </c>
      <c r="N585" s="24">
        <v>2020</v>
      </c>
    </row>
    <row r="586" spans="1:14">
      <c r="A586" s="24">
        <v>2019</v>
      </c>
      <c r="B586" s="24" t="s">
        <v>78</v>
      </c>
      <c r="C586" s="24" t="s">
        <v>88</v>
      </c>
      <c r="D586" s="24" t="s">
        <v>90</v>
      </c>
      <c r="E586" s="23">
        <v>1</v>
      </c>
      <c r="F586" s="24" t="s">
        <v>211</v>
      </c>
      <c r="G586" s="24" t="s">
        <v>225</v>
      </c>
      <c r="H586" s="23" t="s">
        <v>226</v>
      </c>
      <c r="I586" s="24" t="s">
        <v>225</v>
      </c>
      <c r="J586" s="23" t="s">
        <v>226</v>
      </c>
      <c r="K586" s="24" t="s">
        <v>225</v>
      </c>
      <c r="L586" s="23"/>
      <c r="M586" s="26" t="s">
        <v>451</v>
      </c>
      <c r="N586" s="24">
        <v>2020</v>
      </c>
    </row>
    <row r="587" spans="1:14">
      <c r="A587" s="24">
        <v>2019</v>
      </c>
      <c r="B587" s="24" t="s">
        <v>136</v>
      </c>
      <c r="C587" s="24" t="s">
        <v>146</v>
      </c>
      <c r="D587" s="24" t="s">
        <v>147</v>
      </c>
      <c r="E587" s="23">
        <v>11</v>
      </c>
      <c r="F587" s="24" t="s">
        <v>211</v>
      </c>
      <c r="G587" s="24" t="s">
        <v>225</v>
      </c>
      <c r="H587" s="23" t="s">
        <v>226</v>
      </c>
      <c r="I587" s="24" t="s">
        <v>226</v>
      </c>
      <c r="J587" s="23" t="s">
        <v>226</v>
      </c>
      <c r="K587" s="24" t="s">
        <v>225</v>
      </c>
      <c r="L587" s="23"/>
      <c r="M587" s="26" t="s">
        <v>451</v>
      </c>
      <c r="N587" s="24">
        <v>2020</v>
      </c>
    </row>
    <row r="588" spans="1:14">
      <c r="A588" s="24">
        <v>2019</v>
      </c>
      <c r="B588" s="24" t="s">
        <v>4</v>
      </c>
      <c r="C588" s="24" t="s">
        <v>23</v>
      </c>
      <c r="D588" s="24" t="s">
        <v>28</v>
      </c>
      <c r="E588" s="23">
        <v>16</v>
      </c>
      <c r="F588" s="24" t="s">
        <v>211</v>
      </c>
      <c r="G588" s="24" t="s">
        <v>225</v>
      </c>
      <c r="H588" s="23" t="s">
        <v>226</v>
      </c>
      <c r="I588" s="24" t="s">
        <v>226</v>
      </c>
      <c r="J588" s="23" t="s">
        <v>226</v>
      </c>
      <c r="K588" s="24" t="s">
        <v>225</v>
      </c>
      <c r="L588" s="23"/>
      <c r="M588" s="26" t="s">
        <v>451</v>
      </c>
      <c r="N588" s="24">
        <v>2020</v>
      </c>
    </row>
    <row r="589" spans="1:14">
      <c r="A589" s="24">
        <v>2019</v>
      </c>
      <c r="B589" s="24" t="s">
        <v>136</v>
      </c>
      <c r="C589" s="24" t="s">
        <v>137</v>
      </c>
      <c r="D589" s="24" t="s">
        <v>145</v>
      </c>
      <c r="E589" s="23">
        <v>4</v>
      </c>
      <c r="F589" s="24" t="s">
        <v>211</v>
      </c>
      <c r="G589" s="23" t="s">
        <v>226</v>
      </c>
      <c r="H589" s="23" t="s">
        <v>226</v>
      </c>
      <c r="I589" s="24" t="s">
        <v>226</v>
      </c>
      <c r="J589" s="23" t="s">
        <v>226</v>
      </c>
      <c r="K589" s="24" t="s">
        <v>225</v>
      </c>
      <c r="L589" s="23"/>
      <c r="M589" s="26" t="s">
        <v>452</v>
      </c>
      <c r="N589" s="24">
        <v>2020</v>
      </c>
    </row>
    <row r="590" spans="1:14">
      <c r="A590" s="24">
        <v>2019</v>
      </c>
      <c r="B590" s="24" t="s">
        <v>4</v>
      </c>
      <c r="C590" s="24" t="s">
        <v>5</v>
      </c>
      <c r="D590" s="24" t="s">
        <v>13</v>
      </c>
      <c r="E590" s="23">
        <v>2</v>
      </c>
      <c r="F590" s="24" t="s">
        <v>211</v>
      </c>
      <c r="G590" s="24" t="s">
        <v>225</v>
      </c>
      <c r="H590" s="23" t="s">
        <v>226</v>
      </c>
      <c r="I590" s="24" t="s">
        <v>226</v>
      </c>
      <c r="J590" s="23" t="s">
        <v>226</v>
      </c>
      <c r="K590" s="24" t="s">
        <v>225</v>
      </c>
      <c r="L590" s="23"/>
      <c r="M590" s="26" t="s">
        <v>453</v>
      </c>
      <c r="N590" s="24">
        <v>2020</v>
      </c>
    </row>
    <row r="591" spans="1:14">
      <c r="A591" s="24">
        <v>2019</v>
      </c>
      <c r="B591" s="24" t="s">
        <v>78</v>
      </c>
      <c r="C591" s="24" t="s">
        <v>88</v>
      </c>
      <c r="D591" s="24" t="s">
        <v>89</v>
      </c>
      <c r="E591" s="23"/>
      <c r="F591" s="24" t="s">
        <v>207</v>
      </c>
      <c r="G591" s="24" t="s">
        <v>225</v>
      </c>
      <c r="H591" s="23" t="s">
        <v>225</v>
      </c>
      <c r="I591" s="24" t="s">
        <v>226</v>
      </c>
      <c r="J591" s="23" t="s">
        <v>226</v>
      </c>
      <c r="K591" s="24" t="s">
        <v>225</v>
      </c>
      <c r="L591" s="23"/>
      <c r="M591" s="26" t="s">
        <v>453</v>
      </c>
      <c r="N591" s="24">
        <v>2020</v>
      </c>
    </row>
    <row r="592" spans="1:14">
      <c r="A592" s="24">
        <v>2019</v>
      </c>
      <c r="B592" s="24" t="s">
        <v>78</v>
      </c>
      <c r="C592" s="24" t="s">
        <v>79</v>
      </c>
      <c r="D592" s="24" t="s">
        <v>58</v>
      </c>
      <c r="E592" s="23">
        <v>31</v>
      </c>
      <c r="F592" s="24" t="s">
        <v>211</v>
      </c>
      <c r="G592" s="24" t="s">
        <v>225</v>
      </c>
      <c r="H592" s="23" t="s">
        <v>226</v>
      </c>
      <c r="I592" s="24" t="s">
        <v>226</v>
      </c>
      <c r="J592" s="23" t="s">
        <v>226</v>
      </c>
      <c r="K592" s="24" t="s">
        <v>225</v>
      </c>
      <c r="L592" s="23"/>
      <c r="M592" s="26" t="s">
        <v>454</v>
      </c>
      <c r="N592" s="24">
        <v>2020</v>
      </c>
    </row>
    <row r="593" spans="1:14">
      <c r="A593" s="24">
        <v>2019</v>
      </c>
      <c r="B593" s="24" t="s">
        <v>136</v>
      </c>
      <c r="C593" s="24" t="s">
        <v>146</v>
      </c>
      <c r="D593" s="24" t="s">
        <v>256</v>
      </c>
      <c r="E593" s="23"/>
      <c r="F593" s="24" t="s">
        <v>211</v>
      </c>
      <c r="G593" s="24" t="s">
        <v>225</v>
      </c>
      <c r="H593" s="23" t="s">
        <v>225</v>
      </c>
      <c r="I593" s="24" t="s">
        <v>225</v>
      </c>
      <c r="J593" s="23" t="s">
        <v>226</v>
      </c>
      <c r="K593" s="24" t="s">
        <v>225</v>
      </c>
      <c r="L593" s="23"/>
      <c r="M593" s="26" t="s">
        <v>455</v>
      </c>
      <c r="N593" s="24">
        <v>2020</v>
      </c>
    </row>
    <row r="594" spans="1:14">
      <c r="A594" s="24">
        <v>2019</v>
      </c>
      <c r="B594" s="24" t="s">
        <v>136</v>
      </c>
      <c r="C594" s="24" t="s">
        <v>137</v>
      </c>
      <c r="D594" s="24" t="s">
        <v>141</v>
      </c>
      <c r="E594" s="23">
        <v>2</v>
      </c>
      <c r="F594" s="24" t="s">
        <v>211</v>
      </c>
      <c r="G594" s="24" t="s">
        <v>225</v>
      </c>
      <c r="H594" s="23" t="s">
        <v>226</v>
      </c>
      <c r="I594" s="24" t="s">
        <v>226</v>
      </c>
      <c r="J594" s="23" t="s">
        <v>226</v>
      </c>
      <c r="K594" s="24" t="s">
        <v>225</v>
      </c>
      <c r="L594" s="23"/>
      <c r="M594" s="26" t="s">
        <v>455</v>
      </c>
      <c r="N594" s="24">
        <v>2020</v>
      </c>
    </row>
    <row r="595" spans="1:14">
      <c r="A595" s="24">
        <v>2019</v>
      </c>
      <c r="B595" s="24" t="s">
        <v>78</v>
      </c>
      <c r="C595" s="24" t="s">
        <v>80</v>
      </c>
      <c r="D595" s="24" t="s">
        <v>87</v>
      </c>
      <c r="E595" s="23"/>
      <c r="F595" s="24" t="s">
        <v>207</v>
      </c>
      <c r="G595" s="24" t="s">
        <v>225</v>
      </c>
      <c r="H595" s="23" t="s">
        <v>225</v>
      </c>
      <c r="I595" s="24" t="s">
        <v>225</v>
      </c>
      <c r="J595" s="23" t="s">
        <v>226</v>
      </c>
      <c r="K595" s="24" t="s">
        <v>225</v>
      </c>
      <c r="L595" s="23"/>
      <c r="M595" s="26" t="s">
        <v>455</v>
      </c>
      <c r="N595" s="24">
        <v>2020</v>
      </c>
    </row>
    <row r="596" spans="1:14">
      <c r="A596" s="24">
        <v>2019</v>
      </c>
      <c r="B596" s="24" t="s">
        <v>78</v>
      </c>
      <c r="C596" s="24" t="s">
        <v>122</v>
      </c>
      <c r="D596" s="24" t="s">
        <v>127</v>
      </c>
      <c r="E596" s="23">
        <v>2</v>
      </c>
      <c r="F596" s="24" t="s">
        <v>211</v>
      </c>
      <c r="G596" s="23" t="s">
        <v>226</v>
      </c>
      <c r="H596" s="23" t="s">
        <v>226</v>
      </c>
      <c r="I596" s="24" t="s">
        <v>226</v>
      </c>
      <c r="J596" s="23" t="s">
        <v>226</v>
      </c>
      <c r="K596" s="24" t="s">
        <v>225</v>
      </c>
      <c r="L596" s="23"/>
      <c r="M596" s="25">
        <v>43984</v>
      </c>
      <c r="N596" s="24">
        <v>2020</v>
      </c>
    </row>
    <row r="597" spans="1:14">
      <c r="A597" s="24">
        <v>2019</v>
      </c>
      <c r="B597" s="24" t="s">
        <v>4</v>
      </c>
      <c r="C597" s="24" t="s">
        <v>5</v>
      </c>
      <c r="D597" s="24" t="s">
        <v>10</v>
      </c>
      <c r="E597" s="23"/>
      <c r="F597" s="24" t="s">
        <v>211</v>
      </c>
      <c r="G597" s="24" t="s">
        <v>225</v>
      </c>
      <c r="H597" s="23" t="s">
        <v>225</v>
      </c>
      <c r="I597" s="24" t="s">
        <v>225</v>
      </c>
      <c r="J597" s="23" t="s">
        <v>226</v>
      </c>
      <c r="K597" s="24" t="s">
        <v>226</v>
      </c>
      <c r="L597" s="23"/>
      <c r="M597" s="25">
        <v>43984</v>
      </c>
      <c r="N597" s="24">
        <v>2020</v>
      </c>
    </row>
    <row r="598" spans="1:14">
      <c r="A598" s="24">
        <v>2019</v>
      </c>
      <c r="B598" s="24" t="s">
        <v>4</v>
      </c>
      <c r="C598" s="24" t="s">
        <v>203</v>
      </c>
      <c r="D598" s="24" t="s">
        <v>42</v>
      </c>
      <c r="E598" s="23"/>
      <c r="F598" s="24" t="s">
        <v>207</v>
      </c>
      <c r="G598" s="24" t="s">
        <v>225</v>
      </c>
      <c r="H598" s="23" t="s">
        <v>225</v>
      </c>
      <c r="I598" s="24" t="s">
        <v>226</v>
      </c>
      <c r="J598" s="23" t="s">
        <v>226</v>
      </c>
      <c r="K598" s="24" t="s">
        <v>225</v>
      </c>
      <c r="L598" s="23"/>
      <c r="M598" s="25">
        <v>43984</v>
      </c>
      <c r="N598" s="24">
        <v>2020</v>
      </c>
    </row>
    <row r="599" spans="1:14">
      <c r="A599" s="24">
        <v>2019</v>
      </c>
      <c r="B599" s="24" t="s">
        <v>136</v>
      </c>
      <c r="C599" s="24" t="s">
        <v>146</v>
      </c>
      <c r="D599" s="24" t="s">
        <v>256</v>
      </c>
      <c r="E599" s="23">
        <v>1</v>
      </c>
      <c r="F599" s="24" t="s">
        <v>207</v>
      </c>
      <c r="G599" s="24" t="s">
        <v>225</v>
      </c>
      <c r="H599" s="23" t="s">
        <v>226</v>
      </c>
      <c r="I599" s="24" t="s">
        <v>225</v>
      </c>
      <c r="J599" s="23" t="s">
        <v>226</v>
      </c>
      <c r="K599" s="24" t="s">
        <v>225</v>
      </c>
      <c r="L599" s="23"/>
      <c r="M599" s="25">
        <v>43985</v>
      </c>
      <c r="N599" s="24">
        <v>2020</v>
      </c>
    </row>
    <row r="600" spans="1:14">
      <c r="A600" s="24">
        <v>2019</v>
      </c>
      <c r="B600" s="24" t="s">
        <v>78</v>
      </c>
      <c r="C600" s="24" t="s">
        <v>79</v>
      </c>
      <c r="D600" s="24" t="s">
        <v>341</v>
      </c>
      <c r="E600" s="23"/>
      <c r="F600" s="24" t="s">
        <v>211</v>
      </c>
      <c r="G600" s="24" t="s">
        <v>225</v>
      </c>
      <c r="H600" s="23" t="s">
        <v>225</v>
      </c>
      <c r="I600" s="24" t="s">
        <v>226</v>
      </c>
      <c r="J600" s="23" t="s">
        <v>226</v>
      </c>
      <c r="K600" s="24" t="s">
        <v>225</v>
      </c>
      <c r="L600" s="23"/>
      <c r="M600" s="25">
        <v>43985</v>
      </c>
      <c r="N600" s="24">
        <v>2020</v>
      </c>
    </row>
    <row r="601" spans="1:14">
      <c r="A601" s="24">
        <v>2019</v>
      </c>
      <c r="B601" s="24" t="s">
        <v>4</v>
      </c>
      <c r="C601" s="24" t="s">
        <v>23</v>
      </c>
      <c r="D601" s="24" t="s">
        <v>25</v>
      </c>
      <c r="E601" s="23">
        <v>2</v>
      </c>
      <c r="F601" s="24" t="s">
        <v>211</v>
      </c>
      <c r="G601" s="24" t="s">
        <v>225</v>
      </c>
      <c r="H601" s="23" t="s">
        <v>226</v>
      </c>
      <c r="I601" s="24" t="s">
        <v>226</v>
      </c>
      <c r="J601" s="23" t="s">
        <v>226</v>
      </c>
      <c r="K601" s="24" t="s">
        <v>225</v>
      </c>
      <c r="L601" s="23"/>
      <c r="M601" s="25">
        <v>43985</v>
      </c>
      <c r="N601" s="24">
        <v>2020</v>
      </c>
    </row>
    <row r="602" spans="1:14">
      <c r="A602" s="24">
        <v>2019</v>
      </c>
      <c r="B602" s="24" t="s">
        <v>4</v>
      </c>
      <c r="C602" s="24" t="s">
        <v>23</v>
      </c>
      <c r="D602" s="24" t="s">
        <v>29</v>
      </c>
      <c r="E602" s="23">
        <v>10</v>
      </c>
      <c r="F602" s="24" t="s">
        <v>211</v>
      </c>
      <c r="G602" s="24" t="s">
        <v>225</v>
      </c>
      <c r="H602" s="23" t="s">
        <v>226</v>
      </c>
      <c r="I602" s="24" t="s">
        <v>225</v>
      </c>
      <c r="J602" s="23" t="s">
        <v>226</v>
      </c>
      <c r="K602" s="24" t="s">
        <v>225</v>
      </c>
      <c r="L602" s="23"/>
      <c r="M602" s="25">
        <v>43985</v>
      </c>
      <c r="N602" s="24">
        <v>2020</v>
      </c>
    </row>
    <row r="603" spans="1:14">
      <c r="A603" s="24">
        <v>2019</v>
      </c>
      <c r="B603" s="24" t="s">
        <v>78</v>
      </c>
      <c r="C603" s="24" t="s">
        <v>681</v>
      </c>
      <c r="D603" s="24" t="s">
        <v>402</v>
      </c>
      <c r="E603" s="23">
        <v>3</v>
      </c>
      <c r="F603" s="24" t="s">
        <v>207</v>
      </c>
      <c r="G603" s="24" t="s">
        <v>225</v>
      </c>
      <c r="H603" s="23" t="s">
        <v>226</v>
      </c>
      <c r="I603" s="24" t="s">
        <v>225</v>
      </c>
      <c r="J603" s="23" t="s">
        <v>226</v>
      </c>
      <c r="K603" s="24" t="s">
        <v>226</v>
      </c>
      <c r="L603" s="23"/>
      <c r="M603" s="25">
        <v>43985</v>
      </c>
      <c r="N603" s="24">
        <v>2020</v>
      </c>
    </row>
    <row r="604" spans="1:14">
      <c r="A604" s="24">
        <v>2019</v>
      </c>
      <c r="B604" s="24" t="s">
        <v>78</v>
      </c>
      <c r="C604" s="24" t="s">
        <v>122</v>
      </c>
      <c r="D604" s="24" t="s">
        <v>128</v>
      </c>
      <c r="E604" s="23">
        <v>4</v>
      </c>
      <c r="F604" s="24" t="s">
        <v>207</v>
      </c>
      <c r="G604" s="24" t="s">
        <v>225</v>
      </c>
      <c r="H604" s="23" t="s">
        <v>226</v>
      </c>
      <c r="I604" s="24" t="s">
        <v>226</v>
      </c>
      <c r="J604" s="23" t="s">
        <v>226</v>
      </c>
      <c r="K604" s="24" t="s">
        <v>225</v>
      </c>
      <c r="L604" s="23"/>
      <c r="M604" s="25">
        <v>43985</v>
      </c>
      <c r="N604" s="24">
        <v>2020</v>
      </c>
    </row>
    <row r="605" spans="1:14">
      <c r="A605" s="24">
        <v>2019</v>
      </c>
      <c r="B605" s="24" t="s">
        <v>78</v>
      </c>
      <c r="C605" s="24" t="s">
        <v>79</v>
      </c>
      <c r="D605" s="24" t="s">
        <v>292</v>
      </c>
      <c r="E605" s="23">
        <v>12</v>
      </c>
      <c r="F605" s="24" t="s">
        <v>207</v>
      </c>
      <c r="G605" s="24" t="s">
        <v>225</v>
      </c>
      <c r="H605" s="23" t="s">
        <v>226</v>
      </c>
      <c r="I605" s="24" t="s">
        <v>225</v>
      </c>
      <c r="J605" s="23" t="s">
        <v>226</v>
      </c>
      <c r="K605" s="24" t="s">
        <v>225</v>
      </c>
      <c r="L605" s="23"/>
      <c r="M605" s="25">
        <v>43987</v>
      </c>
      <c r="N605" s="24">
        <v>2020</v>
      </c>
    </row>
    <row r="606" spans="1:14">
      <c r="A606" s="24">
        <v>2019</v>
      </c>
      <c r="B606" s="24" t="s">
        <v>4</v>
      </c>
      <c r="C606" s="24" t="s">
        <v>23</v>
      </c>
      <c r="D606" s="24" t="s">
        <v>27</v>
      </c>
      <c r="E606" s="23">
        <v>2</v>
      </c>
      <c r="F606" s="24" t="s">
        <v>211</v>
      </c>
      <c r="G606" s="24" t="s">
        <v>225</v>
      </c>
      <c r="H606" s="23" t="s">
        <v>226</v>
      </c>
      <c r="I606" s="24" t="s">
        <v>225</v>
      </c>
      <c r="J606" s="23" t="s">
        <v>226</v>
      </c>
      <c r="K606" s="24" t="s">
        <v>225</v>
      </c>
      <c r="L606" s="23"/>
      <c r="M606" s="25">
        <v>43989</v>
      </c>
      <c r="N606" s="24">
        <v>2020</v>
      </c>
    </row>
    <row r="607" spans="1:14">
      <c r="A607" s="24">
        <v>2019</v>
      </c>
      <c r="B607" s="24" t="s">
        <v>136</v>
      </c>
      <c r="C607" s="24" t="s">
        <v>176</v>
      </c>
      <c r="D607" s="24" t="s">
        <v>186</v>
      </c>
      <c r="E607" s="23"/>
      <c r="F607" s="24" t="s">
        <v>207</v>
      </c>
      <c r="G607" s="24" t="s">
        <v>225</v>
      </c>
      <c r="H607" s="23" t="s">
        <v>225</v>
      </c>
      <c r="I607" s="24" t="s">
        <v>225</v>
      </c>
      <c r="J607" s="23" t="s">
        <v>226</v>
      </c>
      <c r="K607" s="24" t="s">
        <v>225</v>
      </c>
      <c r="L607" s="23"/>
      <c r="M607" s="25">
        <v>43989</v>
      </c>
      <c r="N607" s="24">
        <v>2020</v>
      </c>
    </row>
    <row r="608" spans="1:14">
      <c r="A608" s="24">
        <v>2019</v>
      </c>
      <c r="B608" s="24" t="s">
        <v>136</v>
      </c>
      <c r="C608" s="24" t="s">
        <v>137</v>
      </c>
      <c r="D608" s="24" t="s">
        <v>138</v>
      </c>
      <c r="E608" s="23"/>
      <c r="F608" s="24" t="s">
        <v>211</v>
      </c>
      <c r="G608" s="24" t="s">
        <v>225</v>
      </c>
      <c r="H608" s="23" t="s">
        <v>225</v>
      </c>
      <c r="I608" s="24" t="s">
        <v>226</v>
      </c>
      <c r="J608" s="23" t="s">
        <v>226</v>
      </c>
      <c r="K608" s="24" t="s">
        <v>225</v>
      </c>
      <c r="L608" s="23"/>
      <c r="M608" s="25">
        <v>43989</v>
      </c>
      <c r="N608" s="24">
        <v>2020</v>
      </c>
    </row>
    <row r="609" spans="1:14">
      <c r="A609" s="24">
        <v>2019</v>
      </c>
      <c r="B609" s="24" t="s">
        <v>136</v>
      </c>
      <c r="C609" s="24" t="s">
        <v>137</v>
      </c>
      <c r="D609" s="24" t="s">
        <v>142</v>
      </c>
      <c r="E609" s="23">
        <v>1</v>
      </c>
      <c r="F609" s="24" t="s">
        <v>211</v>
      </c>
      <c r="G609" s="24" t="s">
        <v>225</v>
      </c>
      <c r="H609" s="23" t="s">
        <v>226</v>
      </c>
      <c r="I609" s="24" t="s">
        <v>226</v>
      </c>
      <c r="J609" s="23" t="s">
        <v>226</v>
      </c>
      <c r="K609" s="24" t="s">
        <v>225</v>
      </c>
      <c r="L609" s="23"/>
      <c r="M609" s="26" t="s">
        <v>456</v>
      </c>
      <c r="N609" s="24">
        <v>2020</v>
      </c>
    </row>
    <row r="610" spans="1:14">
      <c r="A610" s="24">
        <v>2019</v>
      </c>
      <c r="B610" s="24" t="s">
        <v>136</v>
      </c>
      <c r="C610" s="24" t="s">
        <v>176</v>
      </c>
      <c r="D610" s="24" t="s">
        <v>409</v>
      </c>
      <c r="E610" s="23">
        <v>33</v>
      </c>
      <c r="F610" s="24" t="s">
        <v>211</v>
      </c>
      <c r="G610" s="23" t="s">
        <v>226</v>
      </c>
      <c r="H610" s="23" t="s">
        <v>226</v>
      </c>
      <c r="I610" s="24" t="s">
        <v>226</v>
      </c>
      <c r="J610" s="23" t="s">
        <v>226</v>
      </c>
      <c r="K610" s="24" t="s">
        <v>225</v>
      </c>
      <c r="L610" s="23"/>
      <c r="M610" s="26" t="s">
        <v>456</v>
      </c>
      <c r="N610" s="24">
        <v>2020</v>
      </c>
    </row>
    <row r="611" spans="1:14">
      <c r="A611" s="24">
        <v>2019</v>
      </c>
      <c r="B611" s="24" t="s">
        <v>78</v>
      </c>
      <c r="C611" s="24" t="s">
        <v>103</v>
      </c>
      <c r="D611" s="24" t="s">
        <v>457</v>
      </c>
      <c r="E611" s="23">
        <v>6</v>
      </c>
      <c r="F611" s="24" t="s">
        <v>207</v>
      </c>
      <c r="G611" s="23" t="s">
        <v>226</v>
      </c>
      <c r="H611" s="23" t="s">
        <v>226</v>
      </c>
      <c r="I611" s="24" t="s">
        <v>226</v>
      </c>
      <c r="J611" s="23" t="s">
        <v>226</v>
      </c>
      <c r="K611" s="24" t="s">
        <v>225</v>
      </c>
      <c r="L611" s="23"/>
      <c r="M611" s="26" t="s">
        <v>458</v>
      </c>
      <c r="N611" s="24">
        <v>2020</v>
      </c>
    </row>
    <row r="612" spans="1:14">
      <c r="A612" s="24">
        <v>2019</v>
      </c>
      <c r="B612" s="24" t="s">
        <v>136</v>
      </c>
      <c r="C612" s="24" t="s">
        <v>146</v>
      </c>
      <c r="D612" s="24" t="s">
        <v>149</v>
      </c>
      <c r="E612" s="23">
        <v>6</v>
      </c>
      <c r="F612" s="24" t="s">
        <v>211</v>
      </c>
      <c r="G612" s="24" t="s">
        <v>225</v>
      </c>
      <c r="H612" s="23" t="s">
        <v>226</v>
      </c>
      <c r="I612" s="24" t="s">
        <v>225</v>
      </c>
      <c r="J612" s="23" t="s">
        <v>226</v>
      </c>
      <c r="K612" s="24" t="s">
        <v>225</v>
      </c>
      <c r="L612" s="23"/>
      <c r="M612" s="26" t="s">
        <v>459</v>
      </c>
      <c r="N612" s="24">
        <v>2020</v>
      </c>
    </row>
    <row r="613" spans="1:14">
      <c r="A613" s="24">
        <v>2019</v>
      </c>
      <c r="B613" s="24" t="s">
        <v>136</v>
      </c>
      <c r="C613" s="24" t="s">
        <v>176</v>
      </c>
      <c r="D613" s="24" t="s">
        <v>184</v>
      </c>
      <c r="E613" s="23"/>
      <c r="F613" s="24" t="s">
        <v>207</v>
      </c>
      <c r="G613" s="24" t="s">
        <v>225</v>
      </c>
      <c r="H613" s="23" t="s">
        <v>225</v>
      </c>
      <c r="I613" s="24" t="s">
        <v>225</v>
      </c>
      <c r="J613" s="23" t="s">
        <v>226</v>
      </c>
      <c r="K613" s="24" t="s">
        <v>225</v>
      </c>
      <c r="L613" s="23"/>
      <c r="M613" s="26" t="s">
        <v>459</v>
      </c>
      <c r="N613" s="24">
        <v>2020</v>
      </c>
    </row>
    <row r="614" spans="1:14">
      <c r="A614" s="24">
        <v>2019</v>
      </c>
      <c r="B614" s="24" t="s">
        <v>136</v>
      </c>
      <c r="C614" s="24" t="s">
        <v>189</v>
      </c>
      <c r="D614" s="24" t="s">
        <v>258</v>
      </c>
      <c r="E614" s="23">
        <v>44</v>
      </c>
      <c r="F614" s="24" t="s">
        <v>211</v>
      </c>
      <c r="G614" s="24" t="s">
        <v>225</v>
      </c>
      <c r="H614" s="23" t="s">
        <v>226</v>
      </c>
      <c r="I614" s="24" t="s">
        <v>225</v>
      </c>
      <c r="J614" s="23" t="s">
        <v>226</v>
      </c>
      <c r="K614" s="24" t="s">
        <v>225</v>
      </c>
      <c r="L614" s="23"/>
      <c r="M614" s="26" t="s">
        <v>460</v>
      </c>
      <c r="N614" s="24">
        <v>2020</v>
      </c>
    </row>
    <row r="615" spans="1:14">
      <c r="A615" s="24">
        <v>2019</v>
      </c>
      <c r="B615" s="24" t="s">
        <v>136</v>
      </c>
      <c r="C615" s="24" t="s">
        <v>137</v>
      </c>
      <c r="D615" s="24" t="s">
        <v>138</v>
      </c>
      <c r="E615" s="23">
        <v>12</v>
      </c>
      <c r="F615" s="24" t="s">
        <v>207</v>
      </c>
      <c r="G615" s="24" t="s">
        <v>225</v>
      </c>
      <c r="H615" s="23" t="s">
        <v>226</v>
      </c>
      <c r="I615" s="24" t="s">
        <v>225</v>
      </c>
      <c r="J615" s="23" t="s">
        <v>226</v>
      </c>
      <c r="K615" s="24" t="s">
        <v>225</v>
      </c>
      <c r="L615" s="23"/>
      <c r="M615" s="26" t="s">
        <v>461</v>
      </c>
      <c r="N615" s="24">
        <v>2020</v>
      </c>
    </row>
    <row r="616" spans="1:14">
      <c r="A616" s="24">
        <v>2019</v>
      </c>
      <c r="B616" s="24" t="s">
        <v>4</v>
      </c>
      <c r="C616" s="24" t="s">
        <v>23</v>
      </c>
      <c r="D616" s="24" t="s">
        <v>27</v>
      </c>
      <c r="E616" s="23"/>
      <c r="F616" s="24" t="s">
        <v>211</v>
      </c>
      <c r="G616" s="24" t="s">
        <v>225</v>
      </c>
      <c r="H616" s="23" t="s">
        <v>225</v>
      </c>
      <c r="I616" s="24" t="s">
        <v>225</v>
      </c>
      <c r="J616" s="23" t="s">
        <v>226</v>
      </c>
      <c r="K616" s="24" t="s">
        <v>225</v>
      </c>
      <c r="L616" s="23"/>
      <c r="M616" s="26" t="s">
        <v>461</v>
      </c>
      <c r="N616" s="24">
        <v>2020</v>
      </c>
    </row>
    <row r="617" spans="1:14">
      <c r="A617" s="24">
        <v>2019</v>
      </c>
      <c r="B617" s="24" t="s">
        <v>78</v>
      </c>
      <c r="C617" s="24" t="s">
        <v>681</v>
      </c>
      <c r="D617" s="24" t="s">
        <v>249</v>
      </c>
      <c r="E617" s="23">
        <v>3</v>
      </c>
      <c r="F617" s="24" t="s">
        <v>207</v>
      </c>
      <c r="G617" s="24" t="s">
        <v>225</v>
      </c>
      <c r="H617" s="23" t="s">
        <v>226</v>
      </c>
      <c r="I617" s="24" t="s">
        <v>225</v>
      </c>
      <c r="J617" s="23" t="s">
        <v>226</v>
      </c>
      <c r="K617" s="24" t="s">
        <v>225</v>
      </c>
      <c r="L617" s="23"/>
      <c r="M617" s="26" t="s">
        <v>462</v>
      </c>
      <c r="N617" s="24">
        <v>2020</v>
      </c>
    </row>
    <row r="618" spans="1:14">
      <c r="A618" s="24">
        <v>2019</v>
      </c>
      <c r="B618" s="24" t="s">
        <v>136</v>
      </c>
      <c r="C618" s="24" t="s">
        <v>137</v>
      </c>
      <c r="D618" s="24" t="s">
        <v>141</v>
      </c>
      <c r="E618" s="23">
        <v>10</v>
      </c>
      <c r="F618" s="24" t="s">
        <v>211</v>
      </c>
      <c r="G618" s="24" t="s">
        <v>225</v>
      </c>
      <c r="H618" s="23" t="s">
        <v>226</v>
      </c>
      <c r="I618" s="24" t="s">
        <v>225</v>
      </c>
      <c r="J618" s="23" t="s">
        <v>226</v>
      </c>
      <c r="K618" s="24" t="s">
        <v>225</v>
      </c>
      <c r="L618" s="23"/>
      <c r="M618" s="26" t="s">
        <v>462</v>
      </c>
      <c r="N618" s="24">
        <v>2020</v>
      </c>
    </row>
    <row r="619" spans="1:14">
      <c r="A619" s="24">
        <v>2019</v>
      </c>
      <c r="B619" s="24" t="s">
        <v>78</v>
      </c>
      <c r="C619" s="24" t="s">
        <v>683</v>
      </c>
      <c r="D619" s="24" t="s">
        <v>118</v>
      </c>
      <c r="E619" s="23"/>
      <c r="F619" s="24" t="s">
        <v>207</v>
      </c>
      <c r="G619" s="24" t="s">
        <v>225</v>
      </c>
      <c r="H619" s="23" t="s">
        <v>225</v>
      </c>
      <c r="I619" s="24" t="s">
        <v>225</v>
      </c>
      <c r="J619" s="23" t="s">
        <v>226</v>
      </c>
      <c r="K619" s="24" t="s">
        <v>225</v>
      </c>
      <c r="L619" s="23"/>
      <c r="M619" s="26" t="s">
        <v>463</v>
      </c>
      <c r="N619" s="24">
        <v>2020</v>
      </c>
    </row>
    <row r="620" spans="1:14">
      <c r="A620" s="24">
        <v>2019</v>
      </c>
      <c r="B620" s="24" t="s">
        <v>136</v>
      </c>
      <c r="C620" s="24" t="s">
        <v>176</v>
      </c>
      <c r="D620" s="24" t="s">
        <v>464</v>
      </c>
      <c r="E620" s="23">
        <v>1</v>
      </c>
      <c r="F620" s="24" t="s">
        <v>207</v>
      </c>
      <c r="G620" s="24" t="s">
        <v>225</v>
      </c>
      <c r="H620" s="23" t="s">
        <v>226</v>
      </c>
      <c r="I620" s="24" t="s">
        <v>226</v>
      </c>
      <c r="J620" s="23" t="s">
        <v>226</v>
      </c>
      <c r="K620" s="24" t="s">
        <v>225</v>
      </c>
      <c r="L620" s="23"/>
      <c r="M620" s="26" t="s">
        <v>465</v>
      </c>
      <c r="N620" s="24">
        <v>2020</v>
      </c>
    </row>
    <row r="621" spans="1:14">
      <c r="A621" s="24">
        <v>2019</v>
      </c>
      <c r="B621" s="24" t="s">
        <v>78</v>
      </c>
      <c r="C621" s="24" t="s">
        <v>683</v>
      </c>
      <c r="D621" s="24" t="s">
        <v>332</v>
      </c>
      <c r="E621" s="23">
        <v>6</v>
      </c>
      <c r="F621" s="24" t="s">
        <v>211</v>
      </c>
      <c r="G621" s="24" t="s">
        <v>225</v>
      </c>
      <c r="H621" s="23" t="s">
        <v>226</v>
      </c>
      <c r="I621" s="24" t="s">
        <v>225</v>
      </c>
      <c r="J621" s="23" t="s">
        <v>226</v>
      </c>
      <c r="K621" s="24" t="s">
        <v>225</v>
      </c>
      <c r="L621" s="23"/>
      <c r="M621" s="26" t="s">
        <v>465</v>
      </c>
      <c r="N621" s="24">
        <v>2020</v>
      </c>
    </row>
    <row r="622" spans="1:14">
      <c r="A622" s="24">
        <v>2019</v>
      </c>
      <c r="B622" s="24" t="s">
        <v>136</v>
      </c>
      <c r="C622" s="24" t="s">
        <v>176</v>
      </c>
      <c r="D622" s="24" t="s">
        <v>177</v>
      </c>
      <c r="E622" s="23">
        <v>5</v>
      </c>
      <c r="F622" s="24" t="s">
        <v>207</v>
      </c>
      <c r="G622" s="24" t="s">
        <v>225</v>
      </c>
      <c r="H622" s="23" t="s">
        <v>226</v>
      </c>
      <c r="I622" s="24" t="s">
        <v>225</v>
      </c>
      <c r="J622" s="23" t="s">
        <v>226</v>
      </c>
      <c r="K622" s="24" t="s">
        <v>225</v>
      </c>
      <c r="L622" s="23"/>
      <c r="M622" s="26" t="s">
        <v>465</v>
      </c>
      <c r="N622" s="24">
        <v>2020</v>
      </c>
    </row>
    <row r="623" spans="1:14">
      <c r="A623" s="24">
        <v>2019</v>
      </c>
      <c r="B623" s="24" t="s">
        <v>136</v>
      </c>
      <c r="C623" s="24" t="s">
        <v>189</v>
      </c>
      <c r="D623" s="24" t="s">
        <v>259</v>
      </c>
      <c r="E623" s="23"/>
      <c r="F623" s="24" t="s">
        <v>211</v>
      </c>
      <c r="G623" s="24" t="s">
        <v>225</v>
      </c>
      <c r="H623" s="23" t="s">
        <v>225</v>
      </c>
      <c r="I623" s="24" t="s">
        <v>226</v>
      </c>
      <c r="J623" s="23" t="s">
        <v>226</v>
      </c>
      <c r="K623" s="24" t="s">
        <v>225</v>
      </c>
      <c r="L623" s="23"/>
      <c r="M623" s="26" t="s">
        <v>465</v>
      </c>
      <c r="N623" s="24">
        <v>2020</v>
      </c>
    </row>
    <row r="624" spans="1:14">
      <c r="A624" s="24">
        <v>2019</v>
      </c>
      <c r="B624" s="24" t="s">
        <v>136</v>
      </c>
      <c r="C624" s="24" t="s">
        <v>137</v>
      </c>
      <c r="D624" s="24" t="s">
        <v>140</v>
      </c>
      <c r="E624" s="23">
        <v>2</v>
      </c>
      <c r="F624" s="24" t="s">
        <v>207</v>
      </c>
      <c r="G624" s="24" t="s">
        <v>225</v>
      </c>
      <c r="H624" s="23" t="s">
        <v>226</v>
      </c>
      <c r="I624" s="24" t="s">
        <v>225</v>
      </c>
      <c r="J624" s="23" t="s">
        <v>226</v>
      </c>
      <c r="K624" s="24" t="s">
        <v>225</v>
      </c>
      <c r="L624" s="23"/>
      <c r="M624" s="26" t="s">
        <v>466</v>
      </c>
      <c r="N624" s="24">
        <v>2020</v>
      </c>
    </row>
    <row r="625" spans="1:14">
      <c r="A625" s="24">
        <v>2019</v>
      </c>
      <c r="B625" s="24" t="s">
        <v>78</v>
      </c>
      <c r="C625" s="24" t="s">
        <v>103</v>
      </c>
      <c r="D625" s="24" t="s">
        <v>467</v>
      </c>
      <c r="E625" s="23"/>
      <c r="F625" s="24" t="s">
        <v>207</v>
      </c>
      <c r="G625" s="24" t="s">
        <v>225</v>
      </c>
      <c r="H625" s="23" t="s">
        <v>225</v>
      </c>
      <c r="I625" s="24" t="s">
        <v>226</v>
      </c>
      <c r="J625" s="23" t="s">
        <v>226</v>
      </c>
      <c r="K625" s="24" t="s">
        <v>225</v>
      </c>
      <c r="L625" s="23"/>
      <c r="M625" s="26" t="s">
        <v>468</v>
      </c>
      <c r="N625" s="24">
        <v>2020</v>
      </c>
    </row>
    <row r="626" spans="1:14">
      <c r="A626" s="24">
        <v>2019</v>
      </c>
      <c r="B626" s="24" t="s">
        <v>4</v>
      </c>
      <c r="C626" s="24" t="s">
        <v>5</v>
      </c>
      <c r="D626" s="24" t="s">
        <v>7</v>
      </c>
      <c r="E626" s="23">
        <v>5</v>
      </c>
      <c r="F626" s="24" t="s">
        <v>211</v>
      </c>
      <c r="G626" s="24" t="s">
        <v>225</v>
      </c>
      <c r="H626" s="23" t="s">
        <v>226</v>
      </c>
      <c r="I626" s="24" t="s">
        <v>226</v>
      </c>
      <c r="J626" s="23" t="s">
        <v>226</v>
      </c>
      <c r="K626" s="24" t="s">
        <v>225</v>
      </c>
      <c r="L626" s="23"/>
      <c r="M626" s="26" t="s">
        <v>468</v>
      </c>
      <c r="N626" s="24">
        <v>2020</v>
      </c>
    </row>
    <row r="627" spans="1:14">
      <c r="A627" s="24">
        <v>2019</v>
      </c>
      <c r="B627" s="24" t="s">
        <v>136</v>
      </c>
      <c r="C627" s="24" t="s">
        <v>146</v>
      </c>
      <c r="D627" s="24" t="s">
        <v>256</v>
      </c>
      <c r="E627" s="23">
        <v>7</v>
      </c>
      <c r="F627" s="24" t="s">
        <v>207</v>
      </c>
      <c r="G627" s="24" t="s">
        <v>225</v>
      </c>
      <c r="H627" s="23" t="s">
        <v>226</v>
      </c>
      <c r="I627" s="24" t="s">
        <v>226</v>
      </c>
      <c r="J627" s="23" t="s">
        <v>226</v>
      </c>
      <c r="K627" s="24" t="s">
        <v>226</v>
      </c>
      <c r="L627" s="23"/>
      <c r="M627" s="25">
        <v>44014</v>
      </c>
      <c r="N627" s="24">
        <v>2020</v>
      </c>
    </row>
    <row r="628" spans="1:14">
      <c r="A628" s="24">
        <v>2019</v>
      </c>
      <c r="B628" s="24" t="s">
        <v>4</v>
      </c>
      <c r="C628" s="24" t="s">
        <v>5</v>
      </c>
      <c r="D628" s="24" t="s">
        <v>7</v>
      </c>
      <c r="E628" s="23">
        <v>14</v>
      </c>
      <c r="F628" s="24" t="s">
        <v>211</v>
      </c>
      <c r="G628" s="24" t="s">
        <v>225</v>
      </c>
      <c r="H628" s="23" t="s">
        <v>226</v>
      </c>
      <c r="I628" s="24" t="s">
        <v>226</v>
      </c>
      <c r="J628" s="23" t="s">
        <v>226</v>
      </c>
      <c r="K628" s="24" t="s">
        <v>225</v>
      </c>
      <c r="L628" s="23"/>
      <c r="M628" s="25">
        <v>44014</v>
      </c>
      <c r="N628" s="24">
        <v>2020</v>
      </c>
    </row>
    <row r="629" spans="1:14">
      <c r="A629" s="24">
        <v>2019</v>
      </c>
      <c r="B629" s="24" t="s">
        <v>136</v>
      </c>
      <c r="C629" s="24" t="s">
        <v>176</v>
      </c>
      <c r="D629" s="24" t="s">
        <v>177</v>
      </c>
      <c r="E629" s="23"/>
      <c r="F629" s="24" t="s">
        <v>211</v>
      </c>
      <c r="G629" s="24" t="s">
        <v>225</v>
      </c>
      <c r="H629" s="23" t="s">
        <v>225</v>
      </c>
      <c r="I629" s="24" t="s">
        <v>225</v>
      </c>
      <c r="J629" s="23" t="s">
        <v>226</v>
      </c>
      <c r="K629" s="24" t="s">
        <v>225</v>
      </c>
      <c r="L629" s="23"/>
      <c r="M629" s="25">
        <v>44014</v>
      </c>
      <c r="N629" s="24">
        <v>2020</v>
      </c>
    </row>
    <row r="630" spans="1:14">
      <c r="A630" s="24">
        <v>2019</v>
      </c>
      <c r="B630" s="24" t="s">
        <v>136</v>
      </c>
      <c r="C630" s="24" t="s">
        <v>176</v>
      </c>
      <c r="D630" s="24" t="s">
        <v>177</v>
      </c>
      <c r="E630" s="23"/>
      <c r="F630" s="24" t="s">
        <v>207</v>
      </c>
      <c r="G630" s="24" t="s">
        <v>225</v>
      </c>
      <c r="H630" s="23" t="s">
        <v>225</v>
      </c>
      <c r="I630" s="24" t="s">
        <v>225</v>
      </c>
      <c r="J630" s="23" t="s">
        <v>226</v>
      </c>
      <c r="K630" s="24" t="s">
        <v>226</v>
      </c>
      <c r="L630" s="23"/>
      <c r="M630" s="25">
        <v>44014</v>
      </c>
      <c r="N630" s="24">
        <v>2020</v>
      </c>
    </row>
    <row r="631" spans="1:14">
      <c r="A631" s="24">
        <v>2019</v>
      </c>
      <c r="B631" s="24" t="s">
        <v>136</v>
      </c>
      <c r="C631" s="24" t="s">
        <v>171</v>
      </c>
      <c r="D631" s="24" t="s">
        <v>415</v>
      </c>
      <c r="E631" s="23">
        <v>1</v>
      </c>
      <c r="F631" s="24" t="s">
        <v>207</v>
      </c>
      <c r="G631" s="24" t="s">
        <v>225</v>
      </c>
      <c r="H631" s="23" t="s">
        <v>226</v>
      </c>
      <c r="I631" s="24" t="s">
        <v>225</v>
      </c>
      <c r="J631" s="23" t="s">
        <v>226</v>
      </c>
      <c r="K631" s="24" t="s">
        <v>226</v>
      </c>
      <c r="L631" s="23"/>
      <c r="M631" s="25">
        <v>44014</v>
      </c>
      <c r="N631" s="24">
        <v>2020</v>
      </c>
    </row>
    <row r="632" spans="1:14">
      <c r="A632" s="24">
        <v>2019</v>
      </c>
      <c r="B632" s="24" t="s">
        <v>4</v>
      </c>
      <c r="C632" s="24" t="s">
        <v>18</v>
      </c>
      <c r="D632" s="24" t="s">
        <v>22</v>
      </c>
      <c r="E632" s="23">
        <v>1</v>
      </c>
      <c r="F632" s="24" t="s">
        <v>207</v>
      </c>
      <c r="G632" s="24" t="s">
        <v>225</v>
      </c>
      <c r="H632" s="23" t="s">
        <v>226</v>
      </c>
      <c r="I632" s="24" t="s">
        <v>225</v>
      </c>
      <c r="J632" s="23" t="s">
        <v>226</v>
      </c>
      <c r="K632" s="24" t="s">
        <v>225</v>
      </c>
      <c r="L632" s="23"/>
      <c r="M632" s="25">
        <v>44014</v>
      </c>
      <c r="N632" s="24">
        <v>2020</v>
      </c>
    </row>
    <row r="633" spans="1:14">
      <c r="A633" s="24">
        <v>2019</v>
      </c>
      <c r="B633" s="24" t="s">
        <v>136</v>
      </c>
      <c r="C633" s="24" t="s">
        <v>176</v>
      </c>
      <c r="D633" s="24" t="s">
        <v>186</v>
      </c>
      <c r="E633" s="23">
        <v>1</v>
      </c>
      <c r="F633" s="24" t="s">
        <v>207</v>
      </c>
      <c r="G633" s="24" t="s">
        <v>225</v>
      </c>
      <c r="H633" s="23" t="s">
        <v>226</v>
      </c>
      <c r="I633" s="24" t="s">
        <v>225</v>
      </c>
      <c r="J633" s="23" t="s">
        <v>226</v>
      </c>
      <c r="K633" s="24" t="s">
        <v>226</v>
      </c>
      <c r="L633" s="23"/>
      <c r="M633" s="25">
        <v>44014</v>
      </c>
      <c r="N633" s="24">
        <v>2020</v>
      </c>
    </row>
    <row r="634" spans="1:14">
      <c r="A634" s="24">
        <v>2019</v>
      </c>
      <c r="B634" s="24" t="s">
        <v>4</v>
      </c>
      <c r="C634" s="24" t="s">
        <v>23</v>
      </c>
      <c r="D634" s="24" t="s">
        <v>26</v>
      </c>
      <c r="E634" s="23">
        <v>20</v>
      </c>
      <c r="F634" s="24" t="s">
        <v>211</v>
      </c>
      <c r="G634" s="24" t="s">
        <v>225</v>
      </c>
      <c r="H634" s="23" t="s">
        <v>226</v>
      </c>
      <c r="I634" s="24" t="s">
        <v>225</v>
      </c>
      <c r="J634" s="23" t="s">
        <v>226</v>
      </c>
      <c r="K634" s="24" t="s">
        <v>226</v>
      </c>
      <c r="L634" s="23"/>
      <c r="M634" s="25">
        <v>44014</v>
      </c>
      <c r="N634" s="24">
        <v>2020</v>
      </c>
    </row>
    <row r="635" spans="1:14">
      <c r="A635" s="24">
        <v>2019</v>
      </c>
      <c r="B635" s="24" t="s">
        <v>78</v>
      </c>
      <c r="C635" s="24" t="s">
        <v>681</v>
      </c>
      <c r="D635" s="24" t="s">
        <v>198</v>
      </c>
      <c r="E635" s="23">
        <v>5</v>
      </c>
      <c r="F635" s="24" t="s">
        <v>207</v>
      </c>
      <c r="G635" s="24" t="s">
        <v>225</v>
      </c>
      <c r="H635" s="23" t="s">
        <v>226</v>
      </c>
      <c r="I635" s="24" t="s">
        <v>226</v>
      </c>
      <c r="J635" s="23" t="s">
        <v>226</v>
      </c>
      <c r="K635" s="24" t="s">
        <v>225</v>
      </c>
      <c r="L635" s="23"/>
      <c r="M635" s="25">
        <v>44017</v>
      </c>
      <c r="N635" s="24">
        <v>2020</v>
      </c>
    </row>
    <row r="636" spans="1:14">
      <c r="A636" s="24">
        <v>2019</v>
      </c>
      <c r="B636" s="24" t="s">
        <v>136</v>
      </c>
      <c r="C636" s="24" t="s">
        <v>171</v>
      </c>
      <c r="D636" s="24" t="s">
        <v>415</v>
      </c>
      <c r="E636" s="28">
        <v>2</v>
      </c>
      <c r="F636" s="24" t="s">
        <v>211</v>
      </c>
      <c r="G636" s="24" t="s">
        <v>225</v>
      </c>
      <c r="H636" s="23" t="s">
        <v>225</v>
      </c>
      <c r="I636" s="24" t="s">
        <v>226</v>
      </c>
      <c r="J636" s="23" t="s">
        <v>226</v>
      </c>
      <c r="K636" s="24" t="s">
        <v>225</v>
      </c>
      <c r="L636" s="23"/>
      <c r="M636" s="25">
        <v>44019</v>
      </c>
      <c r="N636" s="24">
        <v>2020</v>
      </c>
    </row>
    <row r="637" spans="1:14">
      <c r="A637" s="24">
        <v>2019</v>
      </c>
      <c r="B637" s="24" t="s">
        <v>4</v>
      </c>
      <c r="C637" s="24" t="s">
        <v>23</v>
      </c>
      <c r="D637" s="24" t="s">
        <v>29</v>
      </c>
      <c r="E637" s="23">
        <v>11</v>
      </c>
      <c r="F637" s="24" t="s">
        <v>207</v>
      </c>
      <c r="G637" s="24" t="s">
        <v>225</v>
      </c>
      <c r="H637" s="23" t="s">
        <v>226</v>
      </c>
      <c r="I637" s="24" t="s">
        <v>225</v>
      </c>
      <c r="J637" s="23" t="s">
        <v>226</v>
      </c>
      <c r="K637" s="24" t="s">
        <v>225</v>
      </c>
      <c r="L637" s="23"/>
      <c r="M637" s="25">
        <v>44019</v>
      </c>
      <c r="N637" s="24">
        <v>2020</v>
      </c>
    </row>
    <row r="638" spans="1:14">
      <c r="A638" s="24">
        <v>2019</v>
      </c>
      <c r="B638" s="24" t="s">
        <v>78</v>
      </c>
      <c r="C638" s="24" t="s">
        <v>79</v>
      </c>
      <c r="D638" s="24" t="s">
        <v>52</v>
      </c>
      <c r="E638" s="23">
        <v>4</v>
      </c>
      <c r="F638" s="24" t="s">
        <v>211</v>
      </c>
      <c r="G638" s="24" t="s">
        <v>225</v>
      </c>
      <c r="H638" s="23" t="s">
        <v>226</v>
      </c>
      <c r="I638" s="24" t="s">
        <v>226</v>
      </c>
      <c r="J638" s="23" t="s">
        <v>226</v>
      </c>
      <c r="K638" s="24" t="s">
        <v>225</v>
      </c>
      <c r="L638" s="23"/>
      <c r="M638" s="26" t="s">
        <v>469</v>
      </c>
      <c r="N638" s="24">
        <v>2020</v>
      </c>
    </row>
    <row r="639" spans="1:14">
      <c r="A639" s="24">
        <v>2019</v>
      </c>
      <c r="B639" s="24" t="s">
        <v>78</v>
      </c>
      <c r="C639" s="24" t="s">
        <v>95</v>
      </c>
      <c r="D639" s="24" t="s">
        <v>97</v>
      </c>
      <c r="E639" s="23">
        <v>5</v>
      </c>
      <c r="F639" s="24" t="s">
        <v>211</v>
      </c>
      <c r="G639" s="24" t="s">
        <v>225</v>
      </c>
      <c r="H639" s="23" t="s">
        <v>226</v>
      </c>
      <c r="I639" s="24" t="s">
        <v>226</v>
      </c>
      <c r="J639" s="23" t="s">
        <v>226</v>
      </c>
      <c r="K639" s="24" t="s">
        <v>225</v>
      </c>
      <c r="L639" s="23"/>
      <c r="M639" s="26" t="s">
        <v>470</v>
      </c>
      <c r="N639" s="24">
        <v>2020</v>
      </c>
    </row>
    <row r="640" spans="1:14">
      <c r="A640" s="24">
        <v>2019</v>
      </c>
      <c r="B640" s="24" t="s">
        <v>4</v>
      </c>
      <c r="C640" s="24" t="s">
        <v>18</v>
      </c>
      <c r="D640" s="24" t="s">
        <v>21</v>
      </c>
      <c r="E640" s="23">
        <v>8</v>
      </c>
      <c r="F640" s="24" t="s">
        <v>211</v>
      </c>
      <c r="G640" s="24" t="s">
        <v>225</v>
      </c>
      <c r="H640" s="23" t="s">
        <v>226</v>
      </c>
      <c r="I640" s="24" t="s">
        <v>226</v>
      </c>
      <c r="J640" s="23" t="s">
        <v>226</v>
      </c>
      <c r="K640" s="24" t="s">
        <v>225</v>
      </c>
      <c r="L640" s="23"/>
      <c r="M640" s="26" t="s">
        <v>470</v>
      </c>
      <c r="N640" s="24">
        <v>2020</v>
      </c>
    </row>
    <row r="641" spans="1:14">
      <c r="A641" s="24">
        <v>2019</v>
      </c>
      <c r="B641" s="24" t="s">
        <v>78</v>
      </c>
      <c r="C641" s="24" t="s">
        <v>683</v>
      </c>
      <c r="D641" s="24" t="s">
        <v>114</v>
      </c>
      <c r="E641" s="23">
        <v>5</v>
      </c>
      <c r="F641" s="24" t="s">
        <v>207</v>
      </c>
      <c r="G641" s="24" t="s">
        <v>225</v>
      </c>
      <c r="H641" s="23" t="s">
        <v>226</v>
      </c>
      <c r="I641" s="24" t="s">
        <v>225</v>
      </c>
      <c r="J641" s="23" t="s">
        <v>226</v>
      </c>
      <c r="K641" s="24" t="s">
        <v>225</v>
      </c>
      <c r="L641" s="23"/>
      <c r="M641" s="26" t="s">
        <v>471</v>
      </c>
      <c r="N641" s="24">
        <v>2020</v>
      </c>
    </row>
    <row r="642" spans="1:14">
      <c r="A642" s="24">
        <v>2019</v>
      </c>
      <c r="B642" s="24" t="s">
        <v>4</v>
      </c>
      <c r="C642" s="24" t="s">
        <v>203</v>
      </c>
      <c r="D642" s="24" t="s">
        <v>330</v>
      </c>
      <c r="E642" s="23">
        <v>26</v>
      </c>
      <c r="F642" s="24" t="s">
        <v>211</v>
      </c>
      <c r="G642" s="24" t="s">
        <v>225</v>
      </c>
      <c r="H642" s="23" t="s">
        <v>226</v>
      </c>
      <c r="I642" s="24" t="s">
        <v>225</v>
      </c>
      <c r="J642" s="23" t="s">
        <v>226</v>
      </c>
      <c r="K642" s="24" t="s">
        <v>225</v>
      </c>
      <c r="L642" s="23"/>
      <c r="M642" s="26" t="s">
        <v>471</v>
      </c>
      <c r="N642" s="24">
        <v>2020</v>
      </c>
    </row>
    <row r="643" spans="1:14">
      <c r="A643" s="24">
        <v>2019</v>
      </c>
      <c r="B643" s="24" t="s">
        <v>4</v>
      </c>
      <c r="C643" s="24" t="s">
        <v>23</v>
      </c>
      <c r="D643" s="24" t="s">
        <v>27</v>
      </c>
      <c r="E643" s="23"/>
      <c r="F643" s="24" t="s">
        <v>211</v>
      </c>
      <c r="G643" s="24" t="s">
        <v>225</v>
      </c>
      <c r="H643" s="23" t="s">
        <v>225</v>
      </c>
      <c r="I643" s="24" t="s">
        <v>225</v>
      </c>
      <c r="J643" s="23" t="s">
        <v>226</v>
      </c>
      <c r="K643" s="24" t="s">
        <v>225</v>
      </c>
      <c r="L643" s="23"/>
      <c r="M643" s="26" t="s">
        <v>471</v>
      </c>
      <c r="N643" s="24">
        <v>2020</v>
      </c>
    </row>
    <row r="644" spans="1:14">
      <c r="A644" s="24">
        <v>2019</v>
      </c>
      <c r="B644" s="24" t="s">
        <v>136</v>
      </c>
      <c r="C644" s="24" t="s">
        <v>189</v>
      </c>
      <c r="D644" s="24" t="s">
        <v>259</v>
      </c>
      <c r="E644" s="23">
        <v>1</v>
      </c>
      <c r="F644" s="24" t="s">
        <v>211</v>
      </c>
      <c r="G644" s="24" t="s">
        <v>225</v>
      </c>
      <c r="H644" s="23" t="s">
        <v>226</v>
      </c>
      <c r="I644" s="24" t="s">
        <v>225</v>
      </c>
      <c r="J644" s="23" t="s">
        <v>226</v>
      </c>
      <c r="K644" s="24" t="s">
        <v>225</v>
      </c>
      <c r="L644" s="23"/>
      <c r="M644" s="26" t="s">
        <v>471</v>
      </c>
      <c r="N644" s="24">
        <v>2020</v>
      </c>
    </row>
    <row r="645" spans="1:14">
      <c r="A645" s="24">
        <v>2019</v>
      </c>
      <c r="B645" s="24" t="s">
        <v>78</v>
      </c>
      <c r="C645" s="24" t="s">
        <v>92</v>
      </c>
      <c r="D645" s="24" t="s">
        <v>93</v>
      </c>
      <c r="E645" s="23">
        <v>1</v>
      </c>
      <c r="F645" s="24" t="s">
        <v>207</v>
      </c>
      <c r="G645" s="24" t="s">
        <v>225</v>
      </c>
      <c r="H645" s="23" t="s">
        <v>226</v>
      </c>
      <c r="I645" s="24" t="s">
        <v>225</v>
      </c>
      <c r="J645" s="23" t="s">
        <v>226</v>
      </c>
      <c r="K645" s="24" t="s">
        <v>225</v>
      </c>
      <c r="L645" s="23"/>
      <c r="M645" s="26" t="s">
        <v>472</v>
      </c>
      <c r="N645" s="24">
        <v>2020</v>
      </c>
    </row>
    <row r="646" spans="1:14">
      <c r="A646" s="24">
        <v>2019</v>
      </c>
      <c r="B646" s="24" t="s">
        <v>4</v>
      </c>
      <c r="C646" s="24" t="s">
        <v>203</v>
      </c>
      <c r="D646" s="24" t="s">
        <v>39</v>
      </c>
      <c r="E646" s="23"/>
      <c r="F646" s="24" t="s">
        <v>211</v>
      </c>
      <c r="G646" s="24" t="s">
        <v>225</v>
      </c>
      <c r="H646" s="23" t="s">
        <v>225</v>
      </c>
      <c r="I646" s="24" t="s">
        <v>225</v>
      </c>
      <c r="J646" s="23" t="s">
        <v>226</v>
      </c>
      <c r="K646" s="24" t="s">
        <v>225</v>
      </c>
      <c r="L646" s="23"/>
      <c r="M646" s="26" t="s">
        <v>473</v>
      </c>
      <c r="N646" s="24">
        <v>2020</v>
      </c>
    </row>
    <row r="647" spans="1:14">
      <c r="A647" s="24">
        <v>2019</v>
      </c>
      <c r="B647" s="24" t="s">
        <v>4</v>
      </c>
      <c r="C647" s="24" t="s">
        <v>203</v>
      </c>
      <c r="D647" s="24" t="s">
        <v>204</v>
      </c>
      <c r="E647" s="23">
        <v>2</v>
      </c>
      <c r="F647" s="24" t="s">
        <v>211</v>
      </c>
      <c r="G647" s="24" t="s">
        <v>225</v>
      </c>
      <c r="H647" s="23" t="s">
        <v>226</v>
      </c>
      <c r="I647" s="24" t="s">
        <v>225</v>
      </c>
      <c r="J647" s="23" t="s">
        <v>226</v>
      </c>
      <c r="K647" s="24" t="s">
        <v>225</v>
      </c>
      <c r="L647" s="23"/>
      <c r="M647" s="26" t="s">
        <v>473</v>
      </c>
      <c r="N647" s="24">
        <v>2020</v>
      </c>
    </row>
    <row r="648" spans="1:14">
      <c r="A648" s="24">
        <v>2019</v>
      </c>
      <c r="B648" s="24" t="s">
        <v>78</v>
      </c>
      <c r="C648" s="24" t="s">
        <v>122</v>
      </c>
      <c r="D648" s="24" t="s">
        <v>124</v>
      </c>
      <c r="E648" s="23">
        <v>2</v>
      </c>
      <c r="F648" s="24" t="s">
        <v>207</v>
      </c>
      <c r="G648" s="24" t="s">
        <v>225</v>
      </c>
      <c r="H648" s="23" t="s">
        <v>226</v>
      </c>
      <c r="I648" s="24" t="s">
        <v>225</v>
      </c>
      <c r="J648" s="23" t="s">
        <v>226</v>
      </c>
      <c r="K648" s="24" t="s">
        <v>225</v>
      </c>
      <c r="L648" s="23"/>
      <c r="M648" s="26" t="s">
        <v>473</v>
      </c>
      <c r="N648" s="24">
        <v>2020</v>
      </c>
    </row>
    <row r="649" spans="1:14">
      <c r="A649" s="24">
        <v>2019</v>
      </c>
      <c r="B649" s="24" t="s">
        <v>136</v>
      </c>
      <c r="C649" s="24" t="s">
        <v>189</v>
      </c>
      <c r="D649" s="24" t="s">
        <v>259</v>
      </c>
      <c r="E649" s="23">
        <v>5</v>
      </c>
      <c r="F649" s="24" t="s">
        <v>211</v>
      </c>
      <c r="G649" s="24" t="s">
        <v>225</v>
      </c>
      <c r="H649" s="23" t="s">
        <v>226</v>
      </c>
      <c r="I649" s="24" t="s">
        <v>226</v>
      </c>
      <c r="J649" s="23" t="s">
        <v>226</v>
      </c>
      <c r="K649" s="24" t="s">
        <v>225</v>
      </c>
      <c r="L649" s="23"/>
      <c r="M649" s="26" t="s">
        <v>474</v>
      </c>
      <c r="N649" s="24">
        <v>2020</v>
      </c>
    </row>
    <row r="650" spans="1:14">
      <c r="A650" s="24">
        <v>2019</v>
      </c>
      <c r="B650" s="24" t="s">
        <v>78</v>
      </c>
      <c r="C650" s="24" t="s">
        <v>79</v>
      </c>
      <c r="D650" s="24" t="s">
        <v>342</v>
      </c>
      <c r="E650" s="23">
        <v>1</v>
      </c>
      <c r="F650" s="24" t="s">
        <v>211</v>
      </c>
      <c r="G650" s="24" t="s">
        <v>225</v>
      </c>
      <c r="H650" s="23" t="s">
        <v>226</v>
      </c>
      <c r="I650" s="24" t="s">
        <v>226</v>
      </c>
      <c r="J650" s="23" t="s">
        <v>226</v>
      </c>
      <c r="K650" s="24" t="s">
        <v>225</v>
      </c>
      <c r="L650" s="23"/>
      <c r="M650" s="26" t="s">
        <v>474</v>
      </c>
      <c r="N650" s="24">
        <v>2020</v>
      </c>
    </row>
    <row r="651" spans="1:14">
      <c r="A651" s="24">
        <v>2019</v>
      </c>
      <c r="B651" s="24" t="s">
        <v>136</v>
      </c>
      <c r="C651" s="24" t="s">
        <v>168</v>
      </c>
      <c r="D651" s="24" t="s">
        <v>314</v>
      </c>
      <c r="E651" s="28">
        <v>4</v>
      </c>
      <c r="F651" s="24" t="s">
        <v>207</v>
      </c>
      <c r="G651" s="24" t="s">
        <v>225</v>
      </c>
      <c r="H651" s="23" t="s">
        <v>225</v>
      </c>
      <c r="I651" s="24" t="s">
        <v>225</v>
      </c>
      <c r="J651" s="23" t="s">
        <v>226</v>
      </c>
      <c r="K651" s="24" t="s">
        <v>225</v>
      </c>
      <c r="L651" s="23"/>
      <c r="M651" s="26" t="s">
        <v>475</v>
      </c>
      <c r="N651" s="24">
        <v>2020</v>
      </c>
    </row>
    <row r="652" spans="1:14">
      <c r="A652" s="24">
        <v>2019</v>
      </c>
      <c r="B652" s="24" t="s">
        <v>136</v>
      </c>
      <c r="C652" s="24" t="s">
        <v>160</v>
      </c>
      <c r="D652" s="24" t="s">
        <v>476</v>
      </c>
      <c r="E652" s="23">
        <v>5</v>
      </c>
      <c r="F652" s="24" t="s">
        <v>211</v>
      </c>
      <c r="G652" s="24" t="s">
        <v>225</v>
      </c>
      <c r="H652" s="23" t="s">
        <v>226</v>
      </c>
      <c r="I652" s="24" t="s">
        <v>226</v>
      </c>
      <c r="J652" s="23" t="s">
        <v>226</v>
      </c>
      <c r="K652" s="24" t="s">
        <v>225</v>
      </c>
      <c r="L652" s="23"/>
      <c r="M652" s="26" t="s">
        <v>475</v>
      </c>
      <c r="N652" s="24">
        <v>2020</v>
      </c>
    </row>
    <row r="653" spans="1:14">
      <c r="A653" s="24">
        <v>2019</v>
      </c>
      <c r="B653" s="24" t="s">
        <v>78</v>
      </c>
      <c r="C653" s="24" t="s">
        <v>79</v>
      </c>
      <c r="D653" s="24" t="s">
        <v>50</v>
      </c>
      <c r="E653" s="23">
        <v>17</v>
      </c>
      <c r="F653" s="24" t="s">
        <v>211</v>
      </c>
      <c r="G653" s="24" t="s">
        <v>225</v>
      </c>
      <c r="H653" s="23" t="s">
        <v>226</v>
      </c>
      <c r="I653" s="24" t="s">
        <v>226</v>
      </c>
      <c r="J653" s="23" t="s">
        <v>226</v>
      </c>
      <c r="K653" s="24" t="s">
        <v>225</v>
      </c>
      <c r="L653" s="23"/>
      <c r="M653" s="26" t="s">
        <v>477</v>
      </c>
      <c r="N653" s="24">
        <v>2020</v>
      </c>
    </row>
    <row r="654" spans="1:14">
      <c r="A654" s="24">
        <v>2019</v>
      </c>
      <c r="B654" s="24" t="s">
        <v>78</v>
      </c>
      <c r="C654" s="24" t="s">
        <v>122</v>
      </c>
      <c r="D654" s="24" t="s">
        <v>368</v>
      </c>
      <c r="E654" s="23">
        <v>1</v>
      </c>
      <c r="F654" s="24" t="s">
        <v>211</v>
      </c>
      <c r="G654" s="24" t="s">
        <v>225</v>
      </c>
      <c r="H654" s="23" t="s">
        <v>226</v>
      </c>
      <c r="I654" s="24" t="s">
        <v>226</v>
      </c>
      <c r="J654" s="23" t="s">
        <v>226</v>
      </c>
      <c r="K654" s="24" t="s">
        <v>225</v>
      </c>
      <c r="L654" s="23"/>
      <c r="M654" s="26" t="s">
        <v>477</v>
      </c>
      <c r="N654" s="24">
        <v>2020</v>
      </c>
    </row>
    <row r="655" spans="1:14">
      <c r="A655" s="24">
        <v>2019</v>
      </c>
      <c r="B655" s="24" t="s">
        <v>4</v>
      </c>
      <c r="C655" s="24" t="s">
        <v>203</v>
      </c>
      <c r="D655" s="24" t="s">
        <v>39</v>
      </c>
      <c r="E655" s="23">
        <v>20</v>
      </c>
      <c r="F655" s="24" t="s">
        <v>207</v>
      </c>
      <c r="G655" s="24" t="s">
        <v>225</v>
      </c>
      <c r="H655" s="23" t="s">
        <v>226</v>
      </c>
      <c r="I655" s="24" t="s">
        <v>226</v>
      </c>
      <c r="J655" s="23" t="s">
        <v>226</v>
      </c>
      <c r="K655" s="24" t="s">
        <v>225</v>
      </c>
      <c r="L655" s="23"/>
      <c r="M655" s="26" t="s">
        <v>478</v>
      </c>
      <c r="N655" s="24">
        <v>2020</v>
      </c>
    </row>
    <row r="656" spans="1:14">
      <c r="A656" s="24">
        <v>2019</v>
      </c>
      <c r="B656" s="24" t="s">
        <v>4</v>
      </c>
      <c r="C656" s="24" t="s">
        <v>203</v>
      </c>
      <c r="D656" s="24" t="s">
        <v>39</v>
      </c>
      <c r="E656" s="23"/>
      <c r="F656" s="24" t="s">
        <v>207</v>
      </c>
      <c r="G656" s="24" t="s">
        <v>225</v>
      </c>
      <c r="H656" s="23" t="s">
        <v>225</v>
      </c>
      <c r="I656" s="24" t="s">
        <v>225</v>
      </c>
      <c r="J656" s="23" t="s">
        <v>226</v>
      </c>
      <c r="K656" s="24" t="s">
        <v>225</v>
      </c>
      <c r="L656" s="23"/>
      <c r="M656" s="26" t="s">
        <v>478</v>
      </c>
      <c r="N656" s="24">
        <v>2020</v>
      </c>
    </row>
    <row r="657" spans="1:14">
      <c r="A657" s="24">
        <v>2019</v>
      </c>
      <c r="B657" s="24" t="s">
        <v>78</v>
      </c>
      <c r="C657" s="24" t="s">
        <v>92</v>
      </c>
      <c r="D657" s="24" t="s">
        <v>479</v>
      </c>
      <c r="E657" s="23">
        <v>5</v>
      </c>
      <c r="F657" s="24" t="s">
        <v>207</v>
      </c>
      <c r="G657" s="24" t="s">
        <v>225</v>
      </c>
      <c r="H657" s="23" t="s">
        <v>226</v>
      </c>
      <c r="I657" s="24" t="s">
        <v>226</v>
      </c>
      <c r="J657" s="23" t="s">
        <v>226</v>
      </c>
      <c r="K657" s="24" t="s">
        <v>225</v>
      </c>
      <c r="L657" s="23"/>
      <c r="M657" s="26" t="s">
        <v>478</v>
      </c>
      <c r="N657" s="24">
        <v>2020</v>
      </c>
    </row>
    <row r="658" spans="1:14">
      <c r="A658" s="24">
        <v>2019</v>
      </c>
      <c r="B658" s="24" t="s">
        <v>78</v>
      </c>
      <c r="C658" s="24" t="s">
        <v>122</v>
      </c>
      <c r="D658" s="24" t="s">
        <v>124</v>
      </c>
      <c r="E658" s="23">
        <v>3</v>
      </c>
      <c r="F658" s="24" t="s">
        <v>207</v>
      </c>
      <c r="G658" s="24" t="s">
        <v>225</v>
      </c>
      <c r="H658" s="23" t="s">
        <v>226</v>
      </c>
      <c r="I658" s="24" t="s">
        <v>225</v>
      </c>
      <c r="J658" s="23" t="s">
        <v>226</v>
      </c>
      <c r="K658" s="24" t="s">
        <v>225</v>
      </c>
      <c r="L658" s="23"/>
      <c r="M658" s="26" t="s">
        <v>478</v>
      </c>
      <c r="N658" s="24">
        <v>2020</v>
      </c>
    </row>
    <row r="659" spans="1:14">
      <c r="A659" s="24">
        <v>2019</v>
      </c>
      <c r="B659" s="24" t="s">
        <v>136</v>
      </c>
      <c r="C659" s="24" t="s">
        <v>146</v>
      </c>
      <c r="D659" s="24" t="s">
        <v>148</v>
      </c>
      <c r="E659" s="23">
        <v>1</v>
      </c>
      <c r="F659" s="24" t="s">
        <v>211</v>
      </c>
      <c r="G659" s="24" t="s">
        <v>225</v>
      </c>
      <c r="H659" s="23" t="s">
        <v>226</v>
      </c>
      <c r="I659" s="24" t="s">
        <v>226</v>
      </c>
      <c r="J659" s="23" t="s">
        <v>226</v>
      </c>
      <c r="K659" s="24" t="s">
        <v>225</v>
      </c>
      <c r="L659" s="23"/>
      <c r="M659" s="26" t="s">
        <v>478</v>
      </c>
      <c r="N659" s="24">
        <v>2020</v>
      </c>
    </row>
    <row r="660" spans="1:14">
      <c r="A660" s="24">
        <v>2019</v>
      </c>
      <c r="B660" s="24" t="s">
        <v>136</v>
      </c>
      <c r="C660" s="24" t="s">
        <v>146</v>
      </c>
      <c r="D660" s="24" t="s">
        <v>148</v>
      </c>
      <c r="E660" s="23">
        <v>4</v>
      </c>
      <c r="F660" s="24" t="s">
        <v>211</v>
      </c>
      <c r="G660" s="24" t="s">
        <v>225</v>
      </c>
      <c r="H660" s="23" t="s">
        <v>226</v>
      </c>
      <c r="I660" s="24" t="s">
        <v>225</v>
      </c>
      <c r="J660" s="23" t="s">
        <v>226</v>
      </c>
      <c r="K660" s="24" t="s">
        <v>225</v>
      </c>
      <c r="L660" s="23"/>
      <c r="M660" s="26" t="s">
        <v>480</v>
      </c>
      <c r="N660" s="24">
        <v>2020</v>
      </c>
    </row>
    <row r="661" spans="1:14">
      <c r="A661" s="24">
        <v>2019</v>
      </c>
      <c r="B661" s="24" t="s">
        <v>78</v>
      </c>
      <c r="C661" s="24" t="s">
        <v>79</v>
      </c>
      <c r="D661" s="24" t="s">
        <v>292</v>
      </c>
      <c r="E661" s="23">
        <v>9</v>
      </c>
      <c r="F661" s="24" t="s">
        <v>211</v>
      </c>
      <c r="G661" s="24" t="s">
        <v>225</v>
      </c>
      <c r="H661" s="23" t="s">
        <v>226</v>
      </c>
      <c r="I661" s="24" t="s">
        <v>226</v>
      </c>
      <c r="J661" s="23" t="s">
        <v>226</v>
      </c>
      <c r="K661" s="24" t="s">
        <v>225</v>
      </c>
      <c r="L661" s="23"/>
      <c r="M661" s="26" t="s">
        <v>480</v>
      </c>
      <c r="N661" s="24">
        <v>2020</v>
      </c>
    </row>
    <row r="662" spans="1:14">
      <c r="A662" s="24">
        <v>2019</v>
      </c>
      <c r="B662" s="24" t="s">
        <v>4</v>
      </c>
      <c r="C662" s="24" t="s">
        <v>31</v>
      </c>
      <c r="D662" s="24" t="s">
        <v>33</v>
      </c>
      <c r="E662" s="23">
        <v>11</v>
      </c>
      <c r="F662" s="24" t="s">
        <v>211</v>
      </c>
      <c r="G662" s="24" t="s">
        <v>225</v>
      </c>
      <c r="H662" s="23" t="s">
        <v>226</v>
      </c>
      <c r="I662" s="24" t="s">
        <v>226</v>
      </c>
      <c r="J662" s="23" t="s">
        <v>226</v>
      </c>
      <c r="K662" s="24" t="s">
        <v>225</v>
      </c>
      <c r="L662" s="23"/>
      <c r="M662" s="26" t="s">
        <v>480</v>
      </c>
      <c r="N662" s="24">
        <v>2020</v>
      </c>
    </row>
    <row r="663" spans="1:14">
      <c r="A663" s="24">
        <v>2019</v>
      </c>
      <c r="B663" s="24" t="s">
        <v>136</v>
      </c>
      <c r="C663" s="24" t="s">
        <v>189</v>
      </c>
      <c r="D663" s="24" t="s">
        <v>193</v>
      </c>
      <c r="E663" s="23"/>
      <c r="F663" s="24" t="s">
        <v>211</v>
      </c>
      <c r="G663" s="24" t="s">
        <v>225</v>
      </c>
      <c r="H663" s="23" t="s">
        <v>225</v>
      </c>
      <c r="I663" s="24" t="s">
        <v>225</v>
      </c>
      <c r="J663" s="23" t="s">
        <v>226</v>
      </c>
      <c r="K663" s="24" t="s">
        <v>225</v>
      </c>
      <c r="L663" s="23"/>
      <c r="M663" s="26" t="s">
        <v>480</v>
      </c>
      <c r="N663" s="24">
        <v>2020</v>
      </c>
    </row>
    <row r="664" spans="1:14">
      <c r="A664" s="24">
        <v>2019</v>
      </c>
      <c r="B664" s="24" t="s">
        <v>136</v>
      </c>
      <c r="C664" s="24" t="s">
        <v>137</v>
      </c>
      <c r="D664" s="24" t="s">
        <v>141</v>
      </c>
      <c r="E664" s="23">
        <v>3</v>
      </c>
      <c r="F664" s="24" t="s">
        <v>211</v>
      </c>
      <c r="G664" s="24" t="s">
        <v>225</v>
      </c>
      <c r="H664" s="23" t="s">
        <v>226</v>
      </c>
      <c r="I664" s="24" t="s">
        <v>225</v>
      </c>
      <c r="J664" s="23" t="s">
        <v>226</v>
      </c>
      <c r="K664" s="24" t="s">
        <v>225</v>
      </c>
      <c r="L664" s="23"/>
      <c r="M664" s="26" t="s">
        <v>481</v>
      </c>
      <c r="N664" s="24">
        <v>2020</v>
      </c>
    </row>
    <row r="665" spans="1:14">
      <c r="A665" s="24">
        <v>2019</v>
      </c>
      <c r="B665" s="24" t="s">
        <v>136</v>
      </c>
      <c r="C665" s="24" t="s">
        <v>137</v>
      </c>
      <c r="D665" s="24" t="s">
        <v>138</v>
      </c>
      <c r="E665" s="23">
        <v>28</v>
      </c>
      <c r="F665" s="24" t="s">
        <v>211</v>
      </c>
      <c r="G665" s="24" t="s">
        <v>225</v>
      </c>
      <c r="H665" s="23" t="s">
        <v>226</v>
      </c>
      <c r="I665" s="24" t="s">
        <v>225</v>
      </c>
      <c r="J665" s="23" t="s">
        <v>226</v>
      </c>
      <c r="K665" s="24" t="s">
        <v>225</v>
      </c>
      <c r="L665" s="23"/>
      <c r="M665" s="26" t="s">
        <v>481</v>
      </c>
      <c r="N665" s="24">
        <v>2020</v>
      </c>
    </row>
    <row r="666" spans="1:14">
      <c r="A666" s="24">
        <v>2019</v>
      </c>
      <c r="B666" s="24" t="s">
        <v>136</v>
      </c>
      <c r="C666" s="24" t="s">
        <v>137</v>
      </c>
      <c r="D666" s="24" t="s">
        <v>142</v>
      </c>
      <c r="E666" s="23">
        <v>1</v>
      </c>
      <c r="F666" s="24" t="s">
        <v>211</v>
      </c>
      <c r="G666" s="24" t="s">
        <v>225</v>
      </c>
      <c r="H666" s="23" t="s">
        <v>226</v>
      </c>
      <c r="I666" s="24" t="s">
        <v>225</v>
      </c>
      <c r="J666" s="23" t="s">
        <v>226</v>
      </c>
      <c r="K666" s="24" t="s">
        <v>225</v>
      </c>
      <c r="L666" s="23"/>
      <c r="M666" s="26" t="s">
        <v>481</v>
      </c>
      <c r="N666" s="24">
        <v>2020</v>
      </c>
    </row>
    <row r="667" spans="1:14">
      <c r="A667" s="24">
        <v>2019</v>
      </c>
      <c r="B667" s="24" t="s">
        <v>136</v>
      </c>
      <c r="C667" s="24" t="s">
        <v>176</v>
      </c>
      <c r="D667" s="24" t="s">
        <v>177</v>
      </c>
      <c r="E667" s="23"/>
      <c r="F667" s="24" t="s">
        <v>211</v>
      </c>
      <c r="G667" s="23" t="s">
        <v>226</v>
      </c>
      <c r="H667" s="23" t="s">
        <v>225</v>
      </c>
      <c r="I667" s="24" t="s">
        <v>225</v>
      </c>
      <c r="J667" s="23" t="s">
        <v>226</v>
      </c>
      <c r="K667" s="24" t="s">
        <v>225</v>
      </c>
      <c r="L667" s="23"/>
      <c r="M667" s="26" t="s">
        <v>481</v>
      </c>
      <c r="N667" s="24">
        <v>2020</v>
      </c>
    </row>
    <row r="668" spans="1:14">
      <c r="A668" s="24">
        <v>2019</v>
      </c>
      <c r="B668" s="24" t="s">
        <v>78</v>
      </c>
      <c r="C668" s="24" t="s">
        <v>79</v>
      </c>
      <c r="D668" s="24" t="s">
        <v>357</v>
      </c>
      <c r="E668" s="23">
        <v>3</v>
      </c>
      <c r="F668" s="24" t="s">
        <v>207</v>
      </c>
      <c r="G668" s="24" t="s">
        <v>225</v>
      </c>
      <c r="H668" s="23" t="s">
        <v>226</v>
      </c>
      <c r="I668" s="24" t="s">
        <v>225</v>
      </c>
      <c r="J668" s="23" t="s">
        <v>226</v>
      </c>
      <c r="K668" s="24" t="s">
        <v>225</v>
      </c>
      <c r="L668" s="23"/>
      <c r="M668" s="26" t="s">
        <v>481</v>
      </c>
      <c r="N668" s="24">
        <v>2020</v>
      </c>
    </row>
    <row r="669" spans="1:14">
      <c r="A669" s="24">
        <v>2019</v>
      </c>
      <c r="B669" s="24" t="s">
        <v>136</v>
      </c>
      <c r="C669" s="24" t="s">
        <v>137</v>
      </c>
      <c r="D669" s="24" t="s">
        <v>143</v>
      </c>
      <c r="E669" s="23">
        <v>1</v>
      </c>
      <c r="F669" s="24" t="s">
        <v>211</v>
      </c>
      <c r="G669" s="24" t="s">
        <v>225</v>
      </c>
      <c r="H669" s="23" t="s">
        <v>226</v>
      </c>
      <c r="I669" s="24" t="s">
        <v>226</v>
      </c>
      <c r="J669" s="23" t="s">
        <v>226</v>
      </c>
      <c r="K669" s="24" t="s">
        <v>225</v>
      </c>
      <c r="L669" s="23"/>
      <c r="M669" s="26" t="s">
        <v>482</v>
      </c>
      <c r="N669" s="24">
        <v>2020</v>
      </c>
    </row>
    <row r="670" spans="1:14">
      <c r="A670" s="24">
        <v>2019</v>
      </c>
      <c r="B670" s="24" t="s">
        <v>136</v>
      </c>
      <c r="C670" s="24" t="s">
        <v>137</v>
      </c>
      <c r="D670" s="24" t="s">
        <v>139</v>
      </c>
      <c r="E670" s="23">
        <v>2</v>
      </c>
      <c r="F670" s="24" t="s">
        <v>211</v>
      </c>
      <c r="G670" s="24" t="s">
        <v>225</v>
      </c>
      <c r="H670" s="23" t="s">
        <v>226</v>
      </c>
      <c r="I670" s="24" t="s">
        <v>225</v>
      </c>
      <c r="J670" s="23" t="s">
        <v>226</v>
      </c>
      <c r="K670" s="24" t="s">
        <v>225</v>
      </c>
      <c r="L670" s="23"/>
      <c r="M670" s="26" t="s">
        <v>482</v>
      </c>
      <c r="N670" s="24">
        <v>2020</v>
      </c>
    </row>
    <row r="671" spans="1:14">
      <c r="A671" s="24">
        <v>2019</v>
      </c>
      <c r="B671" s="24" t="s">
        <v>136</v>
      </c>
      <c r="C671" s="24" t="s">
        <v>146</v>
      </c>
      <c r="D671" s="24" t="s">
        <v>256</v>
      </c>
      <c r="E671" s="23">
        <v>16</v>
      </c>
      <c r="F671" s="24" t="s">
        <v>207</v>
      </c>
      <c r="G671" s="24" t="s">
        <v>225</v>
      </c>
      <c r="H671" s="23" t="s">
        <v>226</v>
      </c>
      <c r="I671" s="24" t="s">
        <v>225</v>
      </c>
      <c r="J671" s="23" t="s">
        <v>226</v>
      </c>
      <c r="K671" s="24" t="s">
        <v>225</v>
      </c>
      <c r="L671" s="23"/>
      <c r="M671" s="26" t="s">
        <v>482</v>
      </c>
      <c r="N671" s="24">
        <v>2020</v>
      </c>
    </row>
    <row r="672" spans="1:14">
      <c r="A672" s="24">
        <v>2019</v>
      </c>
      <c r="B672" s="24" t="s">
        <v>4</v>
      </c>
      <c r="C672" s="24" t="s">
        <v>23</v>
      </c>
      <c r="D672" s="24" t="s">
        <v>30</v>
      </c>
      <c r="E672" s="23">
        <v>12</v>
      </c>
      <c r="F672" s="24" t="s">
        <v>207</v>
      </c>
      <c r="G672" s="24" t="s">
        <v>225</v>
      </c>
      <c r="H672" s="23" t="s">
        <v>226</v>
      </c>
      <c r="I672" s="24" t="s">
        <v>226</v>
      </c>
      <c r="J672" s="23" t="s">
        <v>226</v>
      </c>
      <c r="K672" s="24" t="s">
        <v>225</v>
      </c>
      <c r="L672" s="23"/>
      <c r="M672" s="26" t="s">
        <v>483</v>
      </c>
      <c r="N672" s="24">
        <v>2020</v>
      </c>
    </row>
    <row r="673" spans="1:14">
      <c r="A673" s="24">
        <v>2019</v>
      </c>
      <c r="B673" s="24" t="s">
        <v>136</v>
      </c>
      <c r="C673" s="24" t="s">
        <v>146</v>
      </c>
      <c r="D673" s="24" t="s">
        <v>256</v>
      </c>
      <c r="E673" s="23">
        <v>3</v>
      </c>
      <c r="F673" s="24" t="s">
        <v>207</v>
      </c>
      <c r="G673" s="24" t="s">
        <v>225</v>
      </c>
      <c r="H673" s="23" t="s">
        <v>226</v>
      </c>
      <c r="I673" s="24" t="s">
        <v>225</v>
      </c>
      <c r="J673" s="23" t="s">
        <v>226</v>
      </c>
      <c r="K673" s="24" t="s">
        <v>225</v>
      </c>
      <c r="L673" s="23"/>
      <c r="M673" s="26" t="s">
        <v>483</v>
      </c>
      <c r="N673" s="24">
        <v>2020</v>
      </c>
    </row>
    <row r="674" spans="1:14">
      <c r="A674" s="24">
        <v>2019</v>
      </c>
      <c r="B674" s="24" t="s">
        <v>136</v>
      </c>
      <c r="C674" s="24" t="s">
        <v>137</v>
      </c>
      <c r="D674" s="24" t="s">
        <v>145</v>
      </c>
      <c r="E674" s="23"/>
      <c r="F674" s="24" t="s">
        <v>211</v>
      </c>
      <c r="G674" s="24" t="s">
        <v>225</v>
      </c>
      <c r="H674" s="23" t="s">
        <v>225</v>
      </c>
      <c r="I674" s="24" t="s">
        <v>225</v>
      </c>
      <c r="J674" s="23" t="s">
        <v>226</v>
      </c>
      <c r="K674" s="24" t="s">
        <v>225</v>
      </c>
      <c r="L674" s="23"/>
      <c r="M674" s="26" t="s">
        <v>483</v>
      </c>
      <c r="N674" s="24">
        <v>2020</v>
      </c>
    </row>
    <row r="675" spans="1:14">
      <c r="A675" s="24">
        <v>2019</v>
      </c>
      <c r="B675" s="24" t="s">
        <v>78</v>
      </c>
      <c r="C675" s="24" t="s">
        <v>681</v>
      </c>
      <c r="D675" s="24" t="s">
        <v>198</v>
      </c>
      <c r="E675" s="23">
        <v>1</v>
      </c>
      <c r="F675" s="24" t="s">
        <v>207</v>
      </c>
      <c r="G675" s="24" t="s">
        <v>225</v>
      </c>
      <c r="H675" s="23" t="s">
        <v>226</v>
      </c>
      <c r="I675" s="24" t="s">
        <v>226</v>
      </c>
      <c r="J675" s="23" t="s">
        <v>226</v>
      </c>
      <c r="K675" s="24" t="s">
        <v>225</v>
      </c>
      <c r="L675" s="23"/>
      <c r="M675" s="26" t="s">
        <v>484</v>
      </c>
      <c r="N675" s="24">
        <v>2020</v>
      </c>
    </row>
    <row r="676" spans="1:14">
      <c r="A676" s="24">
        <v>2019</v>
      </c>
      <c r="B676" s="24" t="s">
        <v>136</v>
      </c>
      <c r="C676" s="24" t="s">
        <v>685</v>
      </c>
      <c r="D676" s="24" t="s">
        <v>485</v>
      </c>
      <c r="E676" s="23">
        <v>1</v>
      </c>
      <c r="F676" s="24" t="s">
        <v>207</v>
      </c>
      <c r="G676" s="24" t="s">
        <v>225</v>
      </c>
      <c r="H676" s="23" t="s">
        <v>226</v>
      </c>
      <c r="I676" s="24" t="s">
        <v>225</v>
      </c>
      <c r="J676" s="23" t="s">
        <v>226</v>
      </c>
      <c r="K676" s="24" t="s">
        <v>225</v>
      </c>
      <c r="L676" s="23"/>
      <c r="M676" s="26" t="s">
        <v>484</v>
      </c>
      <c r="N676" s="24">
        <v>2020</v>
      </c>
    </row>
    <row r="677" spans="1:14">
      <c r="A677" s="24">
        <v>2019</v>
      </c>
      <c r="B677" s="24" t="s">
        <v>136</v>
      </c>
      <c r="C677" s="24" t="s">
        <v>137</v>
      </c>
      <c r="D677" s="24" t="s">
        <v>141</v>
      </c>
      <c r="E677" s="23">
        <v>1</v>
      </c>
      <c r="F677" s="24" t="s">
        <v>211</v>
      </c>
      <c r="G677" s="24" t="s">
        <v>225</v>
      </c>
      <c r="H677" s="23" t="s">
        <v>226</v>
      </c>
      <c r="I677" s="24" t="s">
        <v>225</v>
      </c>
      <c r="J677" s="23" t="s">
        <v>226</v>
      </c>
      <c r="K677" s="24" t="s">
        <v>226</v>
      </c>
      <c r="L677" s="23"/>
      <c r="M677" s="25">
        <v>44044</v>
      </c>
      <c r="N677" s="24">
        <v>2020</v>
      </c>
    </row>
    <row r="678" spans="1:14">
      <c r="A678" s="24">
        <v>2019</v>
      </c>
      <c r="B678" s="24" t="s">
        <v>136</v>
      </c>
      <c r="C678" s="24" t="s">
        <v>176</v>
      </c>
      <c r="D678" s="24" t="s">
        <v>179</v>
      </c>
      <c r="E678" s="23">
        <v>2</v>
      </c>
      <c r="F678" s="24" t="s">
        <v>207</v>
      </c>
      <c r="G678" s="24" t="s">
        <v>225</v>
      </c>
      <c r="H678" s="23" t="s">
        <v>226</v>
      </c>
      <c r="I678" s="24" t="s">
        <v>226</v>
      </c>
      <c r="J678" s="23" t="s">
        <v>226</v>
      </c>
      <c r="K678" s="24" t="s">
        <v>226</v>
      </c>
      <c r="L678" s="23"/>
      <c r="M678" s="25">
        <v>44044</v>
      </c>
      <c r="N678" s="24">
        <v>2020</v>
      </c>
    </row>
    <row r="679" spans="1:14">
      <c r="A679" s="24">
        <v>2019</v>
      </c>
      <c r="B679" s="24" t="s">
        <v>78</v>
      </c>
      <c r="C679" s="24" t="s">
        <v>80</v>
      </c>
      <c r="D679" s="24" t="s">
        <v>83</v>
      </c>
      <c r="E679" s="23"/>
      <c r="F679" s="24" t="s">
        <v>211</v>
      </c>
      <c r="G679" s="24" t="s">
        <v>225</v>
      </c>
      <c r="H679" s="23" t="s">
        <v>225</v>
      </c>
      <c r="I679" s="24" t="s">
        <v>225</v>
      </c>
      <c r="J679" s="23" t="s">
        <v>226</v>
      </c>
      <c r="K679" s="24" t="s">
        <v>225</v>
      </c>
      <c r="L679" s="23"/>
      <c r="M679" s="25">
        <v>44048</v>
      </c>
      <c r="N679" s="24">
        <v>2020</v>
      </c>
    </row>
    <row r="680" spans="1:14">
      <c r="A680" s="24">
        <v>2019</v>
      </c>
      <c r="B680" s="24" t="s">
        <v>4</v>
      </c>
      <c r="C680" s="24" t="s">
        <v>5</v>
      </c>
      <c r="D680" s="24" t="s">
        <v>7</v>
      </c>
      <c r="E680" s="28">
        <v>3</v>
      </c>
      <c r="F680" s="24" t="s">
        <v>207</v>
      </c>
      <c r="G680" s="24" t="s">
        <v>225</v>
      </c>
      <c r="H680" s="23" t="s">
        <v>225</v>
      </c>
      <c r="I680" s="24" t="s">
        <v>226</v>
      </c>
      <c r="J680" s="23" t="s">
        <v>226</v>
      </c>
      <c r="K680" s="24" t="s">
        <v>225</v>
      </c>
      <c r="L680" s="23"/>
      <c r="M680" s="25">
        <v>44048</v>
      </c>
      <c r="N680" s="24">
        <v>2020</v>
      </c>
    </row>
    <row r="681" spans="1:14">
      <c r="A681" s="24">
        <v>2019</v>
      </c>
      <c r="B681" s="24" t="s">
        <v>78</v>
      </c>
      <c r="C681" s="24" t="s">
        <v>681</v>
      </c>
      <c r="D681" s="24" t="s">
        <v>198</v>
      </c>
      <c r="E681" s="23">
        <v>7</v>
      </c>
      <c r="F681" s="24" t="s">
        <v>207</v>
      </c>
      <c r="G681" s="24" t="s">
        <v>225</v>
      </c>
      <c r="H681" s="23" t="s">
        <v>226</v>
      </c>
      <c r="I681" s="24" t="s">
        <v>226</v>
      </c>
      <c r="J681" s="23" t="s">
        <v>226</v>
      </c>
      <c r="K681" s="24" t="s">
        <v>225</v>
      </c>
      <c r="L681" s="23"/>
      <c r="M681" s="25">
        <v>44050</v>
      </c>
      <c r="N681" s="24">
        <v>2020</v>
      </c>
    </row>
    <row r="682" spans="1:14">
      <c r="A682" s="24">
        <v>2019</v>
      </c>
      <c r="B682" s="24" t="s">
        <v>78</v>
      </c>
      <c r="C682" s="24" t="s">
        <v>80</v>
      </c>
      <c r="D682" s="24" t="s">
        <v>486</v>
      </c>
      <c r="E682" s="23"/>
      <c r="F682" s="24" t="s">
        <v>207</v>
      </c>
      <c r="G682" s="24" t="s">
        <v>225</v>
      </c>
      <c r="H682" s="23" t="s">
        <v>225</v>
      </c>
      <c r="I682" s="24" t="s">
        <v>225</v>
      </c>
      <c r="J682" s="23" t="s">
        <v>226</v>
      </c>
      <c r="K682" s="24" t="s">
        <v>225</v>
      </c>
      <c r="L682" s="23"/>
      <c r="M682" s="25">
        <v>44050</v>
      </c>
      <c r="N682" s="24">
        <v>2020</v>
      </c>
    </row>
    <row r="683" spans="1:14">
      <c r="A683" s="24">
        <v>2019</v>
      </c>
      <c r="B683" s="24" t="s">
        <v>136</v>
      </c>
      <c r="C683" s="24" t="s">
        <v>146</v>
      </c>
      <c r="D683" s="24" t="s">
        <v>256</v>
      </c>
      <c r="E683" s="23">
        <v>3</v>
      </c>
      <c r="F683" s="24" t="s">
        <v>211</v>
      </c>
      <c r="G683" s="24" t="s">
        <v>225</v>
      </c>
      <c r="H683" s="23" t="s">
        <v>226</v>
      </c>
      <c r="I683" s="24" t="s">
        <v>225</v>
      </c>
      <c r="J683" s="23" t="s">
        <v>226</v>
      </c>
      <c r="K683" s="24" t="s">
        <v>225</v>
      </c>
      <c r="L683" s="23"/>
      <c r="M683" s="25">
        <v>44052</v>
      </c>
      <c r="N683" s="24">
        <v>2020</v>
      </c>
    </row>
    <row r="684" spans="1:14">
      <c r="A684" s="24">
        <v>2019</v>
      </c>
      <c r="B684" s="24" t="s">
        <v>136</v>
      </c>
      <c r="C684" s="24" t="s">
        <v>176</v>
      </c>
      <c r="D684" s="24" t="s">
        <v>186</v>
      </c>
      <c r="E684" s="28">
        <v>2</v>
      </c>
      <c r="F684" s="24" t="s">
        <v>207</v>
      </c>
      <c r="G684" s="24" t="s">
        <v>225</v>
      </c>
      <c r="H684" s="23" t="s">
        <v>225</v>
      </c>
      <c r="I684" s="24" t="s">
        <v>225</v>
      </c>
      <c r="J684" s="23" t="s">
        <v>226</v>
      </c>
      <c r="K684" s="24" t="s">
        <v>225</v>
      </c>
      <c r="L684" s="23"/>
      <c r="M684" s="25">
        <v>44052</v>
      </c>
      <c r="N684" s="24">
        <v>2020</v>
      </c>
    </row>
    <row r="685" spans="1:14">
      <c r="A685" s="24">
        <v>2019</v>
      </c>
      <c r="B685" s="24" t="s">
        <v>136</v>
      </c>
      <c r="C685" s="24" t="s">
        <v>168</v>
      </c>
      <c r="D685" s="24" t="s">
        <v>170</v>
      </c>
      <c r="E685" s="23"/>
      <c r="F685" s="24" t="s">
        <v>211</v>
      </c>
      <c r="G685" s="24" t="s">
        <v>225</v>
      </c>
      <c r="H685" s="23" t="s">
        <v>225</v>
      </c>
      <c r="I685" s="24" t="s">
        <v>225</v>
      </c>
      <c r="J685" s="23" t="s">
        <v>226</v>
      </c>
      <c r="K685" s="24" t="s">
        <v>226</v>
      </c>
      <c r="L685" s="23"/>
      <c r="M685" s="25">
        <v>44075</v>
      </c>
      <c r="N685" s="24">
        <v>2020</v>
      </c>
    </row>
    <row r="686" spans="1:14">
      <c r="A686" s="24">
        <v>2019</v>
      </c>
      <c r="B686" s="24" t="s">
        <v>78</v>
      </c>
      <c r="C686" s="24" t="s">
        <v>80</v>
      </c>
      <c r="D686" s="24" t="s">
        <v>486</v>
      </c>
      <c r="E686" s="23">
        <v>12</v>
      </c>
      <c r="F686" s="24" t="s">
        <v>207</v>
      </c>
      <c r="G686" s="24" t="s">
        <v>225</v>
      </c>
      <c r="H686" s="23" t="s">
        <v>226</v>
      </c>
      <c r="I686" s="24" t="s">
        <v>226</v>
      </c>
      <c r="J686" s="23" t="s">
        <v>226</v>
      </c>
      <c r="K686" s="24" t="s">
        <v>225</v>
      </c>
      <c r="L686" s="23"/>
      <c r="M686" s="25">
        <v>44081</v>
      </c>
      <c r="N686" s="24">
        <v>2020</v>
      </c>
    </row>
    <row r="687" spans="1:14">
      <c r="A687" s="24">
        <v>2019</v>
      </c>
      <c r="B687" s="24" t="s">
        <v>4</v>
      </c>
      <c r="C687" s="24" t="s">
        <v>203</v>
      </c>
      <c r="D687" s="24" t="s">
        <v>42</v>
      </c>
      <c r="E687" s="23">
        <v>3</v>
      </c>
      <c r="F687" s="24" t="s">
        <v>211</v>
      </c>
      <c r="G687" s="24" t="s">
        <v>225</v>
      </c>
      <c r="H687" s="23" t="s">
        <v>226</v>
      </c>
      <c r="I687" s="24" t="s">
        <v>225</v>
      </c>
      <c r="J687" s="23" t="s">
        <v>226</v>
      </c>
      <c r="K687" s="24" t="s">
        <v>225</v>
      </c>
      <c r="L687" s="23"/>
      <c r="M687" s="25">
        <v>44081</v>
      </c>
      <c r="N687" s="24">
        <v>2020</v>
      </c>
    </row>
    <row r="688" spans="1:14">
      <c r="A688" s="24">
        <v>2019</v>
      </c>
      <c r="B688" s="24" t="s">
        <v>78</v>
      </c>
      <c r="C688" s="24" t="s">
        <v>95</v>
      </c>
      <c r="D688" s="24" t="s">
        <v>102</v>
      </c>
      <c r="E688" s="23">
        <v>12</v>
      </c>
      <c r="F688" s="24" t="s">
        <v>211</v>
      </c>
      <c r="G688" s="24" t="s">
        <v>225</v>
      </c>
      <c r="H688" s="23" t="s">
        <v>226</v>
      </c>
      <c r="I688" s="24" t="s">
        <v>226</v>
      </c>
      <c r="J688" s="23" t="s">
        <v>226</v>
      </c>
      <c r="K688" s="24" t="s">
        <v>225</v>
      </c>
      <c r="L688" s="23"/>
      <c r="M688" s="25">
        <v>44083</v>
      </c>
      <c r="N688" s="24">
        <v>2020</v>
      </c>
    </row>
    <row r="689" spans="1:14">
      <c r="A689" s="24">
        <v>2019</v>
      </c>
      <c r="B689" s="24" t="s">
        <v>4</v>
      </c>
      <c r="C689" s="24" t="s">
        <v>5</v>
      </c>
      <c r="D689" s="24" t="s">
        <v>8</v>
      </c>
      <c r="E689" s="23">
        <v>8</v>
      </c>
      <c r="F689" s="24" t="s">
        <v>207</v>
      </c>
      <c r="G689" s="24" t="s">
        <v>225</v>
      </c>
      <c r="H689" s="23" t="s">
        <v>226</v>
      </c>
      <c r="I689" s="24" t="s">
        <v>225</v>
      </c>
      <c r="J689" s="23" t="s">
        <v>226</v>
      </c>
      <c r="K689" s="24" t="s">
        <v>225</v>
      </c>
      <c r="L689" s="23"/>
      <c r="M689" s="25">
        <v>44083</v>
      </c>
      <c r="N689" s="24">
        <v>2020</v>
      </c>
    </row>
    <row r="690" spans="1:14">
      <c r="A690" s="24">
        <v>2019</v>
      </c>
      <c r="B690" s="24" t="s">
        <v>78</v>
      </c>
      <c r="C690" s="24" t="s">
        <v>681</v>
      </c>
      <c r="D690" s="24" t="s">
        <v>304</v>
      </c>
      <c r="E690" s="23">
        <v>1</v>
      </c>
      <c r="F690" s="24" t="s">
        <v>211</v>
      </c>
      <c r="G690" s="24" t="s">
        <v>225</v>
      </c>
      <c r="H690" s="23" t="s">
        <v>226</v>
      </c>
      <c r="I690" s="24" t="s">
        <v>225</v>
      </c>
      <c r="J690" s="23" t="s">
        <v>226</v>
      </c>
      <c r="K690" s="24" t="s">
        <v>225</v>
      </c>
      <c r="L690" s="23"/>
      <c r="M690" s="25">
        <v>44083</v>
      </c>
      <c r="N690" s="24">
        <v>2020</v>
      </c>
    </row>
    <row r="691" spans="1:14">
      <c r="A691" s="24">
        <v>2019</v>
      </c>
      <c r="B691" s="24" t="s">
        <v>4</v>
      </c>
      <c r="C691" s="24" t="s">
        <v>5</v>
      </c>
      <c r="D691" s="24" t="s">
        <v>7</v>
      </c>
      <c r="E691" s="23">
        <v>8</v>
      </c>
      <c r="F691" s="24" t="s">
        <v>207</v>
      </c>
      <c r="G691" s="24" t="s">
        <v>225</v>
      </c>
      <c r="H691" s="23" t="s">
        <v>226</v>
      </c>
      <c r="I691" s="24" t="s">
        <v>225</v>
      </c>
      <c r="J691" s="23" t="s">
        <v>226</v>
      </c>
      <c r="K691" s="24" t="s">
        <v>226</v>
      </c>
      <c r="L691" s="23"/>
      <c r="M691" s="25">
        <v>44105</v>
      </c>
      <c r="N691" s="24">
        <v>2020</v>
      </c>
    </row>
    <row r="692" spans="1:14">
      <c r="A692" s="24">
        <v>2019</v>
      </c>
      <c r="B692" s="24" t="s">
        <v>136</v>
      </c>
      <c r="C692" s="24" t="s">
        <v>685</v>
      </c>
      <c r="D692" s="24" t="s">
        <v>485</v>
      </c>
      <c r="E692" s="23">
        <v>1</v>
      </c>
      <c r="F692" s="24" t="s">
        <v>211</v>
      </c>
      <c r="G692" s="24" t="s">
        <v>225</v>
      </c>
      <c r="H692" s="23" t="s">
        <v>226</v>
      </c>
      <c r="I692" s="24" t="s">
        <v>226</v>
      </c>
      <c r="J692" s="23" t="s">
        <v>226</v>
      </c>
      <c r="K692" s="24" t="s">
        <v>225</v>
      </c>
      <c r="L692" s="23"/>
      <c r="M692" s="25">
        <v>44105</v>
      </c>
      <c r="N692" s="24">
        <v>2020</v>
      </c>
    </row>
    <row r="693" spans="1:14">
      <c r="A693" s="24">
        <v>2019</v>
      </c>
      <c r="B693" s="24" t="s">
        <v>78</v>
      </c>
      <c r="C693" s="24" t="s">
        <v>122</v>
      </c>
      <c r="D693" s="24" t="s">
        <v>129</v>
      </c>
      <c r="E693" s="23"/>
      <c r="F693" s="24" t="s">
        <v>207</v>
      </c>
      <c r="G693" s="24" t="s">
        <v>225</v>
      </c>
      <c r="H693" s="23" t="s">
        <v>225</v>
      </c>
      <c r="I693" s="24" t="s">
        <v>225</v>
      </c>
      <c r="J693" s="23" t="s">
        <v>226</v>
      </c>
      <c r="K693" s="24" t="s">
        <v>225</v>
      </c>
      <c r="L693" s="23"/>
      <c r="M693" s="25">
        <v>44106</v>
      </c>
      <c r="N693" s="24">
        <v>2020</v>
      </c>
    </row>
    <row r="694" spans="1:14">
      <c r="A694" s="24">
        <v>2019</v>
      </c>
      <c r="B694" s="24" t="s">
        <v>136</v>
      </c>
      <c r="C694" s="24" t="s">
        <v>146</v>
      </c>
      <c r="D694" s="24" t="s">
        <v>256</v>
      </c>
      <c r="E694" s="23">
        <v>9</v>
      </c>
      <c r="F694" s="24" t="s">
        <v>207</v>
      </c>
      <c r="G694" s="24" t="s">
        <v>225</v>
      </c>
      <c r="H694" s="23" t="s">
        <v>226</v>
      </c>
      <c r="I694" s="24" t="s">
        <v>225</v>
      </c>
      <c r="J694" s="23" t="s">
        <v>226</v>
      </c>
      <c r="K694" s="24" t="s">
        <v>225</v>
      </c>
      <c r="L694" s="23"/>
      <c r="M694" s="25">
        <v>44107</v>
      </c>
      <c r="N694" s="24">
        <v>2020</v>
      </c>
    </row>
    <row r="695" spans="1:14">
      <c r="A695" s="24">
        <v>2019</v>
      </c>
      <c r="B695" s="24" t="s">
        <v>78</v>
      </c>
      <c r="C695" s="24" t="s">
        <v>681</v>
      </c>
      <c r="D695" s="24" t="s">
        <v>198</v>
      </c>
      <c r="E695" s="23">
        <v>8</v>
      </c>
      <c r="F695" s="24" t="s">
        <v>207</v>
      </c>
      <c r="G695" s="24" t="s">
        <v>225</v>
      </c>
      <c r="H695" s="23" t="s">
        <v>226</v>
      </c>
      <c r="I695" s="24" t="s">
        <v>226</v>
      </c>
      <c r="J695" s="23" t="s">
        <v>226</v>
      </c>
      <c r="K695" s="24" t="s">
        <v>226</v>
      </c>
      <c r="L695" s="23"/>
      <c r="M695" s="25">
        <v>44107</v>
      </c>
      <c r="N695" s="24">
        <v>2020</v>
      </c>
    </row>
    <row r="696" spans="1:14">
      <c r="A696" s="24">
        <v>2019</v>
      </c>
      <c r="B696" s="24" t="s">
        <v>4</v>
      </c>
      <c r="C696" s="24" t="s">
        <v>5</v>
      </c>
      <c r="D696" s="24" t="s">
        <v>13</v>
      </c>
      <c r="E696" s="23">
        <v>12</v>
      </c>
      <c r="F696" s="24" t="s">
        <v>207</v>
      </c>
      <c r="G696" s="24" t="s">
        <v>225</v>
      </c>
      <c r="H696" s="23" t="s">
        <v>226</v>
      </c>
      <c r="I696" s="24" t="s">
        <v>226</v>
      </c>
      <c r="J696" s="23" t="s">
        <v>226</v>
      </c>
      <c r="K696" s="24" t="s">
        <v>225</v>
      </c>
      <c r="L696" s="23"/>
      <c r="M696" s="25">
        <v>44111</v>
      </c>
      <c r="N696" s="24">
        <v>2020</v>
      </c>
    </row>
    <row r="697" spans="1:14">
      <c r="A697" s="24">
        <v>2019</v>
      </c>
      <c r="B697" s="24" t="s">
        <v>136</v>
      </c>
      <c r="C697" s="24" t="s">
        <v>171</v>
      </c>
      <c r="D697" s="24" t="s">
        <v>172</v>
      </c>
      <c r="E697" s="23">
        <v>2</v>
      </c>
      <c r="F697" s="24" t="s">
        <v>207</v>
      </c>
      <c r="G697" s="24" t="s">
        <v>225</v>
      </c>
      <c r="H697" s="23" t="s">
        <v>226</v>
      </c>
      <c r="I697" s="24" t="s">
        <v>226</v>
      </c>
      <c r="J697" s="23" t="s">
        <v>226</v>
      </c>
      <c r="K697" s="24" t="s">
        <v>225</v>
      </c>
      <c r="L697" s="23"/>
      <c r="M697" s="25">
        <v>44111</v>
      </c>
      <c r="N697" s="24">
        <v>2020</v>
      </c>
    </row>
    <row r="698" spans="1:14">
      <c r="A698" s="24">
        <v>2019</v>
      </c>
      <c r="B698" s="24" t="s">
        <v>78</v>
      </c>
      <c r="C698" s="24" t="s">
        <v>122</v>
      </c>
      <c r="D698" s="24" t="s">
        <v>128</v>
      </c>
      <c r="E698" s="23">
        <v>13</v>
      </c>
      <c r="F698" s="24" t="s">
        <v>207</v>
      </c>
      <c r="G698" s="24" t="s">
        <v>225</v>
      </c>
      <c r="H698" s="23" t="s">
        <v>226</v>
      </c>
      <c r="I698" s="24" t="s">
        <v>225</v>
      </c>
      <c r="J698" s="23" t="s">
        <v>226</v>
      </c>
      <c r="K698" s="24" t="s">
        <v>225</v>
      </c>
      <c r="L698" s="23"/>
      <c r="M698" s="25">
        <v>44111</v>
      </c>
      <c r="N698" s="24">
        <v>2020</v>
      </c>
    </row>
    <row r="699" spans="1:14">
      <c r="A699" s="24">
        <v>2019</v>
      </c>
      <c r="B699" s="24" t="s">
        <v>78</v>
      </c>
      <c r="C699" s="24" t="s">
        <v>681</v>
      </c>
      <c r="D699" s="24" t="s">
        <v>304</v>
      </c>
      <c r="E699" s="23"/>
      <c r="F699" s="24" t="s">
        <v>207</v>
      </c>
      <c r="G699" s="24" t="s">
        <v>225</v>
      </c>
      <c r="H699" s="23" t="s">
        <v>225</v>
      </c>
      <c r="I699" s="24" t="s">
        <v>226</v>
      </c>
      <c r="J699" s="23" t="s">
        <v>226</v>
      </c>
      <c r="K699" s="24" t="s">
        <v>225</v>
      </c>
      <c r="L699" s="23"/>
      <c r="M699" s="25">
        <v>44111</v>
      </c>
      <c r="N699" s="24">
        <v>2020</v>
      </c>
    </row>
    <row r="700" spans="1:14">
      <c r="A700" s="24">
        <v>2019</v>
      </c>
      <c r="B700" s="24" t="s">
        <v>4</v>
      </c>
      <c r="C700" s="24" t="s">
        <v>23</v>
      </c>
      <c r="D700" s="24" t="s">
        <v>25</v>
      </c>
      <c r="E700" s="23">
        <v>1</v>
      </c>
      <c r="F700" s="24" t="s">
        <v>211</v>
      </c>
      <c r="G700" s="24" t="s">
        <v>225</v>
      </c>
      <c r="H700" s="23" t="s">
        <v>226</v>
      </c>
      <c r="I700" s="24" t="s">
        <v>225</v>
      </c>
      <c r="J700" s="23" t="s">
        <v>226</v>
      </c>
      <c r="K700" s="24" t="s">
        <v>226</v>
      </c>
      <c r="L700" s="23"/>
      <c r="M700" s="25">
        <v>44137</v>
      </c>
      <c r="N700" s="24">
        <v>2020</v>
      </c>
    </row>
    <row r="701" spans="1:14">
      <c r="A701" s="24">
        <v>2019</v>
      </c>
      <c r="B701" s="24" t="s">
        <v>78</v>
      </c>
      <c r="C701" s="24" t="s">
        <v>683</v>
      </c>
      <c r="D701" s="24" t="s">
        <v>118</v>
      </c>
      <c r="E701" s="23"/>
      <c r="F701" s="24" t="s">
        <v>207</v>
      </c>
      <c r="G701" s="24" t="s">
        <v>225</v>
      </c>
      <c r="H701" s="23" t="s">
        <v>225</v>
      </c>
      <c r="I701" s="24" t="s">
        <v>226</v>
      </c>
      <c r="J701" s="23" t="s">
        <v>226</v>
      </c>
      <c r="K701" s="24" t="s">
        <v>226</v>
      </c>
      <c r="L701" s="23"/>
      <c r="M701" s="25">
        <v>44137</v>
      </c>
      <c r="N701" s="24">
        <v>2020</v>
      </c>
    </row>
    <row r="702" spans="1:14">
      <c r="A702" s="24">
        <v>2019</v>
      </c>
      <c r="B702" s="24" t="s">
        <v>78</v>
      </c>
      <c r="C702" s="24" t="s">
        <v>80</v>
      </c>
      <c r="D702" s="24" t="s">
        <v>367</v>
      </c>
      <c r="E702" s="23">
        <v>1</v>
      </c>
      <c r="F702" s="24" t="s">
        <v>211</v>
      </c>
      <c r="G702" s="24" t="s">
        <v>225</v>
      </c>
      <c r="H702" s="23" t="s">
        <v>226</v>
      </c>
      <c r="I702" s="24" t="s">
        <v>225</v>
      </c>
      <c r="J702" s="23" t="s">
        <v>226</v>
      </c>
      <c r="K702" s="24" t="s">
        <v>225</v>
      </c>
      <c r="L702" s="23"/>
      <c r="M702" s="25">
        <v>44138</v>
      </c>
      <c r="N702" s="24">
        <v>2020</v>
      </c>
    </row>
    <row r="703" spans="1:14">
      <c r="A703" s="24">
        <v>2019</v>
      </c>
      <c r="B703" s="24" t="s">
        <v>136</v>
      </c>
      <c r="C703" s="24" t="s">
        <v>176</v>
      </c>
      <c r="D703" s="24" t="s">
        <v>464</v>
      </c>
      <c r="E703" s="23">
        <v>2</v>
      </c>
      <c r="F703" s="24" t="s">
        <v>211</v>
      </c>
      <c r="G703" s="24" t="s">
        <v>225</v>
      </c>
      <c r="H703" s="23" t="s">
        <v>226</v>
      </c>
      <c r="I703" s="24" t="s">
        <v>226</v>
      </c>
      <c r="J703" s="23" t="s">
        <v>226</v>
      </c>
      <c r="K703" s="24" t="s">
        <v>225</v>
      </c>
      <c r="L703" s="23"/>
      <c r="M703" s="25">
        <v>44140</v>
      </c>
      <c r="N703" s="24">
        <v>2020</v>
      </c>
    </row>
    <row r="704" spans="1:14">
      <c r="A704" s="24">
        <v>2019</v>
      </c>
      <c r="B704" s="24" t="s">
        <v>4</v>
      </c>
      <c r="C704" s="24" t="s">
        <v>31</v>
      </c>
      <c r="D704" s="24" t="s">
        <v>32</v>
      </c>
      <c r="E704" s="23">
        <v>1</v>
      </c>
      <c r="F704" s="24" t="s">
        <v>211</v>
      </c>
      <c r="G704" s="24" t="s">
        <v>225</v>
      </c>
      <c r="H704" s="23" t="s">
        <v>226</v>
      </c>
      <c r="I704" s="24" t="s">
        <v>225</v>
      </c>
      <c r="J704" s="23" t="s">
        <v>226</v>
      </c>
      <c r="K704" s="24" t="s">
        <v>225</v>
      </c>
      <c r="L704" s="23"/>
      <c r="M704" s="25">
        <v>44141</v>
      </c>
      <c r="N704" s="24">
        <v>2020</v>
      </c>
    </row>
    <row r="705" spans="1:14">
      <c r="A705" s="24">
        <v>2019</v>
      </c>
      <c r="B705" s="24" t="s">
        <v>4</v>
      </c>
      <c r="C705" s="24" t="s">
        <v>23</v>
      </c>
      <c r="D705" s="24" t="s">
        <v>26</v>
      </c>
      <c r="E705" s="23"/>
      <c r="F705" s="24" t="s">
        <v>211</v>
      </c>
      <c r="G705" s="24" t="s">
        <v>225</v>
      </c>
      <c r="H705" s="23" t="s">
        <v>225</v>
      </c>
      <c r="I705" s="24" t="s">
        <v>225</v>
      </c>
      <c r="J705" s="23" t="s">
        <v>226</v>
      </c>
      <c r="K705" s="24" t="s">
        <v>225</v>
      </c>
      <c r="L705" s="23"/>
      <c r="M705" s="25">
        <v>44144</v>
      </c>
      <c r="N705" s="24">
        <v>2020</v>
      </c>
    </row>
    <row r="706" spans="1:14">
      <c r="A706" s="24">
        <v>2019</v>
      </c>
      <c r="B706" s="24" t="s">
        <v>136</v>
      </c>
      <c r="C706" s="24" t="s">
        <v>176</v>
      </c>
      <c r="D706" s="24" t="s">
        <v>184</v>
      </c>
      <c r="E706" s="23">
        <v>1</v>
      </c>
      <c r="F706" s="24" t="s">
        <v>207</v>
      </c>
      <c r="G706" s="24" t="s">
        <v>225</v>
      </c>
      <c r="H706" s="23" t="s">
        <v>226</v>
      </c>
      <c r="I706" s="24" t="s">
        <v>225</v>
      </c>
      <c r="J706" s="23" t="s">
        <v>226</v>
      </c>
      <c r="K706" s="24" t="s">
        <v>225</v>
      </c>
      <c r="L706" s="23"/>
      <c r="M706" s="25">
        <v>44144</v>
      </c>
      <c r="N706" s="24">
        <v>2020</v>
      </c>
    </row>
    <row r="707" spans="1:14">
      <c r="A707" s="24">
        <v>2019</v>
      </c>
      <c r="B707" s="24" t="s">
        <v>78</v>
      </c>
      <c r="C707" s="24" t="s">
        <v>80</v>
      </c>
      <c r="D707" s="24" t="s">
        <v>486</v>
      </c>
      <c r="E707" s="23">
        <v>8</v>
      </c>
      <c r="F707" s="24" t="s">
        <v>211</v>
      </c>
      <c r="G707" s="24" t="s">
        <v>225</v>
      </c>
      <c r="H707" s="23" t="s">
        <v>226</v>
      </c>
      <c r="I707" s="24" t="s">
        <v>226</v>
      </c>
      <c r="J707" s="23" t="s">
        <v>226</v>
      </c>
      <c r="K707" s="24" t="s">
        <v>225</v>
      </c>
      <c r="L707" s="23"/>
      <c r="M707" s="25">
        <v>44168</v>
      </c>
      <c r="N707" s="24">
        <v>2020</v>
      </c>
    </row>
    <row r="708" spans="1:14">
      <c r="A708" s="24">
        <v>2019</v>
      </c>
      <c r="B708" s="24" t="s">
        <v>4</v>
      </c>
      <c r="C708" s="24" t="s">
        <v>5</v>
      </c>
      <c r="D708" s="24" t="s">
        <v>8</v>
      </c>
      <c r="E708" s="23">
        <v>7</v>
      </c>
      <c r="F708" s="24" t="s">
        <v>211</v>
      </c>
      <c r="G708" s="24" t="s">
        <v>225</v>
      </c>
      <c r="H708" s="23" t="s">
        <v>226</v>
      </c>
      <c r="I708" s="24" t="s">
        <v>226</v>
      </c>
      <c r="J708" s="23" t="s">
        <v>226</v>
      </c>
      <c r="K708" s="24" t="s">
        <v>225</v>
      </c>
      <c r="L708" s="23"/>
      <c r="M708" s="25">
        <v>44168</v>
      </c>
      <c r="N708" s="24">
        <v>2020</v>
      </c>
    </row>
    <row r="709" spans="1:14">
      <c r="A709" s="24">
        <v>2019</v>
      </c>
      <c r="B709" s="24" t="s">
        <v>136</v>
      </c>
      <c r="C709" s="24" t="s">
        <v>160</v>
      </c>
      <c r="D709" s="24" t="s">
        <v>162</v>
      </c>
      <c r="E709" s="23">
        <v>3</v>
      </c>
      <c r="F709" s="24" t="s">
        <v>211</v>
      </c>
      <c r="G709" s="24" t="s">
        <v>225</v>
      </c>
      <c r="H709" s="23" t="s">
        <v>226</v>
      </c>
      <c r="I709" s="24" t="s">
        <v>226</v>
      </c>
      <c r="J709" s="23" t="s">
        <v>226</v>
      </c>
      <c r="K709" s="24" t="s">
        <v>225</v>
      </c>
      <c r="L709" s="23"/>
      <c r="M709" s="25">
        <v>44171</v>
      </c>
      <c r="N709" s="24">
        <v>2020</v>
      </c>
    </row>
    <row r="710" spans="1:14">
      <c r="A710" s="24">
        <v>2020</v>
      </c>
      <c r="B710" s="24" t="s">
        <v>78</v>
      </c>
      <c r="C710" s="24" t="s">
        <v>88</v>
      </c>
      <c r="D710" s="24" t="s">
        <v>90</v>
      </c>
      <c r="E710" s="23">
        <v>6</v>
      </c>
      <c r="F710" s="24" t="s">
        <v>207</v>
      </c>
      <c r="G710" s="24" t="s">
        <v>225</v>
      </c>
      <c r="H710" s="23" t="s">
        <v>226</v>
      </c>
      <c r="I710" s="24" t="s">
        <v>225</v>
      </c>
      <c r="J710" s="23" t="s">
        <v>226</v>
      </c>
      <c r="K710" s="24" t="s">
        <v>225</v>
      </c>
      <c r="L710" s="23"/>
      <c r="M710" s="25">
        <v>43840</v>
      </c>
      <c r="N710" s="24">
        <v>2020</v>
      </c>
    </row>
    <row r="711" spans="1:14">
      <c r="A711" s="24">
        <v>2020</v>
      </c>
      <c r="B711" s="24" t="s">
        <v>4</v>
      </c>
      <c r="C711" s="24" t="s">
        <v>203</v>
      </c>
      <c r="D711" s="24" t="s">
        <v>42</v>
      </c>
      <c r="E711" s="23">
        <v>3</v>
      </c>
      <c r="F711" s="24" t="s">
        <v>211</v>
      </c>
      <c r="G711" s="24" t="s">
        <v>225</v>
      </c>
      <c r="H711" s="23" t="s">
        <v>226</v>
      </c>
      <c r="I711" s="24" t="s">
        <v>226</v>
      </c>
      <c r="J711" s="23" t="s">
        <v>226</v>
      </c>
      <c r="K711" s="24" t="s">
        <v>225</v>
      </c>
      <c r="L711" s="23"/>
      <c r="M711" s="25">
        <v>43842</v>
      </c>
      <c r="N711" s="24">
        <v>2020</v>
      </c>
    </row>
    <row r="712" spans="1:14">
      <c r="A712" s="24">
        <v>2020</v>
      </c>
      <c r="B712" s="24" t="s">
        <v>136</v>
      </c>
      <c r="C712" s="24" t="s">
        <v>160</v>
      </c>
      <c r="D712" s="24" t="s">
        <v>165</v>
      </c>
      <c r="E712" s="23">
        <v>6</v>
      </c>
      <c r="F712" s="24" t="s">
        <v>211</v>
      </c>
      <c r="G712" s="24" t="s">
        <v>225</v>
      </c>
      <c r="H712" s="23" t="s">
        <v>226</v>
      </c>
      <c r="I712" s="24" t="s">
        <v>226</v>
      </c>
      <c r="J712" s="23" t="s">
        <v>226</v>
      </c>
      <c r="K712" s="24" t="s">
        <v>225</v>
      </c>
      <c r="L712" s="23"/>
      <c r="M712" s="25">
        <v>43842</v>
      </c>
      <c r="N712" s="24">
        <v>2020</v>
      </c>
    </row>
    <row r="713" spans="1:14">
      <c r="A713" s="24">
        <v>2020</v>
      </c>
      <c r="B713" s="24" t="s">
        <v>78</v>
      </c>
      <c r="C713" s="24" t="s">
        <v>103</v>
      </c>
      <c r="D713" s="24" t="s">
        <v>107</v>
      </c>
      <c r="E713" s="23">
        <v>4</v>
      </c>
      <c r="F713" s="24" t="s">
        <v>207</v>
      </c>
      <c r="G713" s="24" t="s">
        <v>225</v>
      </c>
      <c r="H713" s="23" t="s">
        <v>226</v>
      </c>
      <c r="I713" s="24" t="s">
        <v>226</v>
      </c>
      <c r="J713" s="23" t="s">
        <v>226</v>
      </c>
      <c r="K713" s="24" t="s">
        <v>225</v>
      </c>
      <c r="L713" s="23"/>
      <c r="M713" s="25">
        <v>43842</v>
      </c>
      <c r="N713" s="24">
        <v>2020</v>
      </c>
    </row>
    <row r="714" spans="1:14">
      <c r="A714" s="24">
        <v>2020</v>
      </c>
      <c r="B714" s="24" t="s">
        <v>4</v>
      </c>
      <c r="C714" s="24" t="s">
        <v>23</v>
      </c>
      <c r="D714" s="24" t="s">
        <v>407</v>
      </c>
      <c r="E714" s="23"/>
      <c r="F714" s="24" t="s">
        <v>207</v>
      </c>
      <c r="G714" s="24" t="s">
        <v>225</v>
      </c>
      <c r="H714" s="23" t="s">
        <v>225</v>
      </c>
      <c r="I714" s="24" t="s">
        <v>225</v>
      </c>
      <c r="J714" s="23" t="s">
        <v>226</v>
      </c>
      <c r="K714" s="24" t="s">
        <v>225</v>
      </c>
      <c r="L714" s="23"/>
      <c r="M714" s="25">
        <v>43842</v>
      </c>
      <c r="N714" s="24">
        <v>2020</v>
      </c>
    </row>
    <row r="715" spans="1:14">
      <c r="A715" s="24">
        <v>2020</v>
      </c>
      <c r="B715" s="24" t="s">
        <v>4</v>
      </c>
      <c r="C715" s="24" t="s">
        <v>5</v>
      </c>
      <c r="D715" s="24" t="s">
        <v>8</v>
      </c>
      <c r="E715" s="23">
        <v>4</v>
      </c>
      <c r="F715" s="24" t="s">
        <v>207</v>
      </c>
      <c r="G715" s="24" t="s">
        <v>225</v>
      </c>
      <c r="H715" s="23" t="s">
        <v>226</v>
      </c>
      <c r="I715" s="24" t="s">
        <v>226</v>
      </c>
      <c r="J715" s="23" t="s">
        <v>226</v>
      </c>
      <c r="K715" s="24" t="s">
        <v>225</v>
      </c>
      <c r="L715" s="23"/>
      <c r="M715" s="25">
        <v>43871</v>
      </c>
      <c r="N715" s="24">
        <v>2020</v>
      </c>
    </row>
    <row r="716" spans="1:14">
      <c r="A716" s="24">
        <v>2020</v>
      </c>
      <c r="B716" s="24" t="s">
        <v>136</v>
      </c>
      <c r="C716" s="24" t="s">
        <v>137</v>
      </c>
      <c r="D716" s="24" t="s">
        <v>141</v>
      </c>
      <c r="E716" s="23">
        <v>1</v>
      </c>
      <c r="F716" s="24" t="s">
        <v>207</v>
      </c>
      <c r="G716" s="24" t="s">
        <v>225</v>
      </c>
      <c r="H716" s="23" t="s">
        <v>226</v>
      </c>
      <c r="I716" s="24" t="s">
        <v>225</v>
      </c>
      <c r="J716" s="23" t="s">
        <v>226</v>
      </c>
      <c r="K716" s="24" t="s">
        <v>225</v>
      </c>
      <c r="L716" s="23"/>
      <c r="M716" s="25">
        <v>43871</v>
      </c>
      <c r="N716" s="24">
        <v>2020</v>
      </c>
    </row>
    <row r="717" spans="1:14">
      <c r="A717" s="24">
        <v>2020</v>
      </c>
      <c r="B717" s="24" t="s">
        <v>78</v>
      </c>
      <c r="C717" s="24" t="s">
        <v>79</v>
      </c>
      <c r="D717" s="24" t="s">
        <v>56</v>
      </c>
      <c r="E717" s="23">
        <v>8</v>
      </c>
      <c r="F717" s="24" t="s">
        <v>211</v>
      </c>
      <c r="G717" s="24" t="s">
        <v>225</v>
      </c>
      <c r="H717" s="23" t="s">
        <v>226</v>
      </c>
      <c r="I717" s="24" t="s">
        <v>226</v>
      </c>
      <c r="J717" s="23" t="s">
        <v>226</v>
      </c>
      <c r="K717" s="24" t="s">
        <v>225</v>
      </c>
      <c r="L717" s="23"/>
      <c r="M717" s="25">
        <v>43871</v>
      </c>
      <c r="N717" s="24">
        <v>2020</v>
      </c>
    </row>
    <row r="718" spans="1:14">
      <c r="A718" s="24">
        <v>2020</v>
      </c>
      <c r="B718" s="24" t="s">
        <v>136</v>
      </c>
      <c r="C718" s="24" t="s">
        <v>176</v>
      </c>
      <c r="D718" s="24" t="s">
        <v>184</v>
      </c>
      <c r="E718" s="23"/>
      <c r="F718" s="24" t="s">
        <v>211</v>
      </c>
      <c r="G718" s="24" t="s">
        <v>225</v>
      </c>
      <c r="H718" s="23" t="s">
        <v>225</v>
      </c>
      <c r="I718" s="24" t="s">
        <v>225</v>
      </c>
      <c r="J718" s="23" t="s">
        <v>226</v>
      </c>
      <c r="K718" s="24" t="s">
        <v>225</v>
      </c>
      <c r="L718" s="23"/>
      <c r="M718" s="25">
        <v>43871</v>
      </c>
      <c r="N718" s="24">
        <v>2020</v>
      </c>
    </row>
    <row r="719" spans="1:14">
      <c r="A719" s="24">
        <v>2020</v>
      </c>
      <c r="B719" s="24" t="s">
        <v>78</v>
      </c>
      <c r="C719" s="24" t="s">
        <v>122</v>
      </c>
      <c r="D719" s="24" t="s">
        <v>368</v>
      </c>
      <c r="E719" s="23">
        <v>9</v>
      </c>
      <c r="F719" s="24" t="s">
        <v>207</v>
      </c>
      <c r="G719" s="24" t="s">
        <v>225</v>
      </c>
      <c r="H719" s="23" t="s">
        <v>226</v>
      </c>
      <c r="I719" s="24" t="s">
        <v>226</v>
      </c>
      <c r="J719" s="23" t="s">
        <v>226</v>
      </c>
      <c r="K719" s="24" t="s">
        <v>225</v>
      </c>
      <c r="L719" s="23"/>
      <c r="M719" s="25">
        <v>43871</v>
      </c>
      <c r="N719" s="24">
        <v>2020</v>
      </c>
    </row>
    <row r="720" spans="1:14">
      <c r="A720" s="24">
        <v>2020</v>
      </c>
      <c r="B720" s="24" t="s">
        <v>78</v>
      </c>
      <c r="C720" s="24" t="s">
        <v>95</v>
      </c>
      <c r="D720" s="24" t="s">
        <v>100</v>
      </c>
      <c r="E720" s="23">
        <v>2</v>
      </c>
      <c r="F720" s="24" t="s">
        <v>207</v>
      </c>
      <c r="G720" s="24" t="s">
        <v>225</v>
      </c>
      <c r="H720" s="23" t="s">
        <v>226</v>
      </c>
      <c r="I720" s="24" t="s">
        <v>226</v>
      </c>
      <c r="J720" s="23" t="s">
        <v>226</v>
      </c>
      <c r="K720" s="24" t="s">
        <v>225</v>
      </c>
      <c r="L720" s="23"/>
      <c r="M720" s="25">
        <v>43871</v>
      </c>
      <c r="N720" s="24">
        <v>2020</v>
      </c>
    </row>
    <row r="721" spans="1:14">
      <c r="A721" s="24">
        <v>2020</v>
      </c>
      <c r="B721" s="24" t="s">
        <v>4</v>
      </c>
      <c r="C721" s="24" t="s">
        <v>23</v>
      </c>
      <c r="D721" s="24" t="s">
        <v>29</v>
      </c>
      <c r="E721" s="23">
        <v>4</v>
      </c>
      <c r="F721" s="24" t="s">
        <v>207</v>
      </c>
      <c r="G721" s="24" t="s">
        <v>225</v>
      </c>
      <c r="H721" s="23" t="s">
        <v>226</v>
      </c>
      <c r="I721" s="24" t="s">
        <v>225</v>
      </c>
      <c r="J721" s="23" t="s">
        <v>226</v>
      </c>
      <c r="K721" s="24" t="s">
        <v>225</v>
      </c>
      <c r="L721" s="23"/>
      <c r="M721" s="25">
        <v>43873</v>
      </c>
      <c r="N721" s="24">
        <v>2020</v>
      </c>
    </row>
    <row r="722" spans="1:14">
      <c r="A722" s="24">
        <v>2020</v>
      </c>
      <c r="B722" s="24" t="s">
        <v>4</v>
      </c>
      <c r="C722" s="24" t="s">
        <v>18</v>
      </c>
      <c r="D722" s="24" t="s">
        <v>20</v>
      </c>
      <c r="E722" s="23">
        <v>36</v>
      </c>
      <c r="F722" s="24" t="s">
        <v>211</v>
      </c>
      <c r="G722" s="24" t="s">
        <v>225</v>
      </c>
      <c r="H722" s="23" t="s">
        <v>226</v>
      </c>
      <c r="I722" s="24" t="s">
        <v>226</v>
      </c>
      <c r="J722" s="23" t="s">
        <v>226</v>
      </c>
      <c r="K722" s="24" t="s">
        <v>225</v>
      </c>
      <c r="L722" s="23"/>
      <c r="M722" s="25">
        <v>43902</v>
      </c>
      <c r="N722" s="24">
        <v>2020</v>
      </c>
    </row>
    <row r="723" spans="1:14">
      <c r="A723" s="24">
        <v>2020</v>
      </c>
      <c r="B723" s="24" t="s">
        <v>136</v>
      </c>
      <c r="C723" s="24" t="s">
        <v>176</v>
      </c>
      <c r="D723" s="24" t="s">
        <v>179</v>
      </c>
      <c r="E723" s="23">
        <v>1</v>
      </c>
      <c r="F723" s="24" t="s">
        <v>207</v>
      </c>
      <c r="G723" s="24" t="s">
        <v>225</v>
      </c>
      <c r="H723" s="23" t="s">
        <v>226</v>
      </c>
      <c r="I723" s="24" t="s">
        <v>225</v>
      </c>
      <c r="J723" s="23" t="s">
        <v>226</v>
      </c>
      <c r="K723" s="24" t="s">
        <v>225</v>
      </c>
      <c r="L723" s="23"/>
      <c r="M723" s="25">
        <v>43933</v>
      </c>
      <c r="N723" s="24">
        <v>2020</v>
      </c>
    </row>
    <row r="724" spans="1:14">
      <c r="A724" s="24">
        <v>2020</v>
      </c>
      <c r="B724" s="24" t="s">
        <v>4</v>
      </c>
      <c r="C724" s="24" t="s">
        <v>5</v>
      </c>
      <c r="D724" s="24" t="s">
        <v>10</v>
      </c>
      <c r="E724" s="23">
        <v>1</v>
      </c>
      <c r="F724" s="24" t="s">
        <v>207</v>
      </c>
      <c r="G724" s="24" t="s">
        <v>225</v>
      </c>
      <c r="H724" s="23" t="s">
        <v>226</v>
      </c>
      <c r="I724" s="24" t="s">
        <v>225</v>
      </c>
      <c r="J724" s="23" t="s">
        <v>226</v>
      </c>
      <c r="K724" s="24" t="s">
        <v>225</v>
      </c>
      <c r="L724" s="23"/>
      <c r="M724" s="25">
        <v>43933</v>
      </c>
      <c r="N724" s="24">
        <v>2020</v>
      </c>
    </row>
    <row r="725" spans="1:14">
      <c r="A725" s="24">
        <v>2020</v>
      </c>
      <c r="B725" s="24" t="s">
        <v>4</v>
      </c>
      <c r="C725" s="24" t="s">
        <v>23</v>
      </c>
      <c r="D725" s="24" t="s">
        <v>28</v>
      </c>
      <c r="E725" s="23">
        <v>16</v>
      </c>
      <c r="F725" s="24" t="s">
        <v>207</v>
      </c>
      <c r="G725" s="24" t="s">
        <v>225</v>
      </c>
      <c r="H725" s="23" t="s">
        <v>226</v>
      </c>
      <c r="I725" s="24" t="s">
        <v>226</v>
      </c>
      <c r="J725" s="23" t="s">
        <v>226</v>
      </c>
      <c r="K725" s="24" t="s">
        <v>225</v>
      </c>
      <c r="L725" s="23"/>
      <c r="M725" s="25">
        <v>43961</v>
      </c>
      <c r="N725" s="24">
        <v>2020</v>
      </c>
    </row>
    <row r="726" spans="1:14">
      <c r="A726" s="24">
        <v>2020</v>
      </c>
      <c r="B726" s="24" t="s">
        <v>78</v>
      </c>
      <c r="C726" s="24" t="s">
        <v>103</v>
      </c>
      <c r="D726" s="24" t="s">
        <v>107</v>
      </c>
      <c r="E726" s="23">
        <v>7</v>
      </c>
      <c r="F726" s="24" t="s">
        <v>207</v>
      </c>
      <c r="G726" s="24" t="s">
        <v>225</v>
      </c>
      <c r="H726" s="23" t="s">
        <v>226</v>
      </c>
      <c r="I726" s="24" t="s">
        <v>226</v>
      </c>
      <c r="J726" s="23" t="s">
        <v>226</v>
      </c>
      <c r="K726" s="24" t="s">
        <v>225</v>
      </c>
      <c r="L726" s="23"/>
      <c r="M726" s="25">
        <v>43961</v>
      </c>
      <c r="N726" s="24">
        <v>2020</v>
      </c>
    </row>
    <row r="727" spans="1:14">
      <c r="A727" s="24">
        <v>2020</v>
      </c>
      <c r="B727" s="24" t="s">
        <v>136</v>
      </c>
      <c r="C727" s="24" t="s">
        <v>146</v>
      </c>
      <c r="D727" s="24" t="s">
        <v>256</v>
      </c>
      <c r="E727" s="23">
        <v>19</v>
      </c>
      <c r="F727" s="24" t="s">
        <v>211</v>
      </c>
      <c r="G727" s="24" t="s">
        <v>225</v>
      </c>
      <c r="H727" s="23" t="s">
        <v>226</v>
      </c>
      <c r="I727" s="24" t="s">
        <v>225</v>
      </c>
      <c r="J727" s="23" t="s">
        <v>226</v>
      </c>
      <c r="K727" s="24" t="s">
        <v>225</v>
      </c>
      <c r="L727" s="23"/>
      <c r="M727" s="25">
        <v>43961</v>
      </c>
      <c r="N727" s="24">
        <v>2020</v>
      </c>
    </row>
    <row r="728" spans="1:14">
      <c r="A728" s="24">
        <v>2020</v>
      </c>
      <c r="B728" s="24" t="s">
        <v>136</v>
      </c>
      <c r="C728" s="24" t="s">
        <v>137</v>
      </c>
      <c r="D728" s="24" t="s">
        <v>144</v>
      </c>
      <c r="E728" s="23">
        <v>1</v>
      </c>
      <c r="F728" s="24" t="s">
        <v>207</v>
      </c>
      <c r="G728" s="24" t="s">
        <v>225</v>
      </c>
      <c r="H728" s="23" t="s">
        <v>226</v>
      </c>
      <c r="I728" s="24" t="s">
        <v>225</v>
      </c>
      <c r="J728" s="23" t="s">
        <v>226</v>
      </c>
      <c r="K728" s="24" t="s">
        <v>225</v>
      </c>
      <c r="L728" s="23"/>
      <c r="M728" s="25">
        <v>43961</v>
      </c>
      <c r="N728" s="24">
        <v>2020</v>
      </c>
    </row>
    <row r="729" spans="1:14">
      <c r="A729" s="24">
        <v>2020</v>
      </c>
      <c r="B729" s="24" t="s">
        <v>136</v>
      </c>
      <c r="C729" s="24" t="s">
        <v>137</v>
      </c>
      <c r="D729" s="24" t="s">
        <v>144</v>
      </c>
      <c r="E729" s="23">
        <v>2</v>
      </c>
      <c r="F729" s="24" t="s">
        <v>211</v>
      </c>
      <c r="G729" s="24" t="s">
        <v>225</v>
      </c>
      <c r="H729" s="23" t="s">
        <v>226</v>
      </c>
      <c r="I729" s="24" t="s">
        <v>226</v>
      </c>
      <c r="J729" s="23" t="s">
        <v>226</v>
      </c>
      <c r="K729" s="24" t="s">
        <v>225</v>
      </c>
      <c r="L729" s="23"/>
      <c r="M729" s="25">
        <v>43993</v>
      </c>
      <c r="N729" s="24">
        <v>2020</v>
      </c>
    </row>
    <row r="730" spans="1:14">
      <c r="A730" s="24">
        <v>2020</v>
      </c>
      <c r="B730" s="24" t="s">
        <v>4</v>
      </c>
      <c r="C730" s="24" t="s">
        <v>203</v>
      </c>
      <c r="D730" s="24" t="s">
        <v>204</v>
      </c>
      <c r="E730" s="23"/>
      <c r="F730" s="24" t="s">
        <v>211</v>
      </c>
      <c r="G730" s="24" t="s">
        <v>225</v>
      </c>
      <c r="H730" s="23" t="s">
        <v>225</v>
      </c>
      <c r="I730" s="24" t="s">
        <v>226</v>
      </c>
      <c r="J730" s="23" t="s">
        <v>226</v>
      </c>
      <c r="K730" s="24" t="s">
        <v>225</v>
      </c>
      <c r="L730" s="23"/>
      <c r="M730" s="25">
        <v>43993</v>
      </c>
      <c r="N730" s="24">
        <v>2020</v>
      </c>
    </row>
    <row r="731" spans="1:14">
      <c r="A731" s="24">
        <v>2020</v>
      </c>
      <c r="B731" s="24" t="s">
        <v>4</v>
      </c>
      <c r="C731" s="24" t="s">
        <v>23</v>
      </c>
      <c r="D731" s="24" t="s">
        <v>30</v>
      </c>
      <c r="E731" s="23">
        <v>8</v>
      </c>
      <c r="F731" s="24" t="s">
        <v>211</v>
      </c>
      <c r="G731" s="24" t="s">
        <v>225</v>
      </c>
      <c r="H731" s="23" t="s">
        <v>226</v>
      </c>
      <c r="I731" s="24" t="s">
        <v>225</v>
      </c>
      <c r="J731" s="23" t="s">
        <v>226</v>
      </c>
      <c r="K731" s="24" t="s">
        <v>225</v>
      </c>
      <c r="L731" s="23"/>
      <c r="M731" s="25">
        <v>44022</v>
      </c>
      <c r="N731" s="24">
        <v>2020</v>
      </c>
    </row>
    <row r="732" spans="1:14">
      <c r="A732" s="24">
        <v>2020</v>
      </c>
      <c r="B732" s="24" t="s">
        <v>136</v>
      </c>
      <c r="C732" s="24" t="s">
        <v>152</v>
      </c>
      <c r="D732" s="24" t="s">
        <v>487</v>
      </c>
      <c r="E732" s="23"/>
      <c r="F732" s="24" t="s">
        <v>207</v>
      </c>
      <c r="G732" s="24" t="s">
        <v>225</v>
      </c>
      <c r="H732" s="23" t="s">
        <v>225</v>
      </c>
      <c r="I732" s="24" t="s">
        <v>225</v>
      </c>
      <c r="J732" s="23" t="s">
        <v>226</v>
      </c>
      <c r="K732" s="24" t="s">
        <v>225</v>
      </c>
      <c r="L732" s="23"/>
      <c r="M732" s="25">
        <v>44053</v>
      </c>
      <c r="N732" s="24">
        <v>2020</v>
      </c>
    </row>
    <row r="733" spans="1:14">
      <c r="A733" s="24">
        <v>2020</v>
      </c>
      <c r="B733" s="24" t="s">
        <v>136</v>
      </c>
      <c r="C733" s="24" t="s">
        <v>137</v>
      </c>
      <c r="D733" s="24" t="s">
        <v>144</v>
      </c>
      <c r="E733" s="23"/>
      <c r="F733" s="24" t="s">
        <v>211</v>
      </c>
      <c r="G733" s="24" t="s">
        <v>225</v>
      </c>
      <c r="H733" s="23" t="s">
        <v>225</v>
      </c>
      <c r="I733" s="24" t="s">
        <v>225</v>
      </c>
      <c r="J733" s="23" t="s">
        <v>226</v>
      </c>
      <c r="K733" s="24" t="s">
        <v>225</v>
      </c>
      <c r="L733" s="23"/>
      <c r="M733" s="25">
        <v>44084</v>
      </c>
      <c r="N733" s="24">
        <v>2020</v>
      </c>
    </row>
    <row r="734" spans="1:14">
      <c r="A734" s="24">
        <v>2020</v>
      </c>
      <c r="B734" s="24" t="s">
        <v>136</v>
      </c>
      <c r="C734" s="24" t="s">
        <v>146</v>
      </c>
      <c r="D734" s="24" t="s">
        <v>256</v>
      </c>
      <c r="E734" s="23">
        <v>3</v>
      </c>
      <c r="F734" s="24" t="s">
        <v>211</v>
      </c>
      <c r="G734" s="24" t="s">
        <v>225</v>
      </c>
      <c r="H734" s="23" t="s">
        <v>226</v>
      </c>
      <c r="I734" s="24" t="s">
        <v>225</v>
      </c>
      <c r="J734" s="23" t="s">
        <v>226</v>
      </c>
      <c r="K734" s="24" t="s">
        <v>225</v>
      </c>
      <c r="L734" s="23"/>
      <c r="M734" s="25">
        <v>44085</v>
      </c>
      <c r="N734" s="24">
        <v>2020</v>
      </c>
    </row>
    <row r="735" spans="1:14">
      <c r="A735" s="24">
        <v>2020</v>
      </c>
      <c r="B735" s="24" t="s">
        <v>4</v>
      </c>
      <c r="C735" s="24" t="s">
        <v>23</v>
      </c>
      <c r="D735" s="24" t="s">
        <v>27</v>
      </c>
      <c r="E735" s="23">
        <v>21</v>
      </c>
      <c r="F735" s="24" t="s">
        <v>211</v>
      </c>
      <c r="G735" s="24" t="s">
        <v>225</v>
      </c>
      <c r="H735" s="23" t="s">
        <v>226</v>
      </c>
      <c r="I735" s="24" t="s">
        <v>225</v>
      </c>
      <c r="J735" s="23" t="s">
        <v>226</v>
      </c>
      <c r="K735" s="24" t="s">
        <v>225</v>
      </c>
      <c r="L735" s="23"/>
      <c r="M735" s="25">
        <v>44086</v>
      </c>
      <c r="N735" s="24">
        <v>2020</v>
      </c>
    </row>
    <row r="736" spans="1:14">
      <c r="A736" s="24">
        <v>2020</v>
      </c>
      <c r="B736" s="24" t="s">
        <v>136</v>
      </c>
      <c r="C736" s="24" t="s">
        <v>189</v>
      </c>
      <c r="D736" s="24" t="s">
        <v>258</v>
      </c>
      <c r="E736" s="23">
        <v>2</v>
      </c>
      <c r="F736" s="24" t="s">
        <v>207</v>
      </c>
      <c r="G736" s="24" t="s">
        <v>225</v>
      </c>
      <c r="H736" s="23" t="s">
        <v>226</v>
      </c>
      <c r="I736" s="24" t="s">
        <v>226</v>
      </c>
      <c r="J736" s="23" t="s">
        <v>226</v>
      </c>
      <c r="K736" s="24" t="s">
        <v>225</v>
      </c>
      <c r="L736" s="23"/>
      <c r="M736" s="26" t="s">
        <v>488</v>
      </c>
      <c r="N736" s="24">
        <v>2020</v>
      </c>
    </row>
    <row r="737" spans="1:14">
      <c r="A737" s="24">
        <v>2020</v>
      </c>
      <c r="B737" s="24" t="s">
        <v>136</v>
      </c>
      <c r="C737" s="24" t="s">
        <v>137</v>
      </c>
      <c r="D737" s="24" t="s">
        <v>140</v>
      </c>
      <c r="E737" s="23">
        <v>1</v>
      </c>
      <c r="F737" s="24" t="s">
        <v>211</v>
      </c>
      <c r="G737" s="24" t="s">
        <v>225</v>
      </c>
      <c r="H737" s="23" t="s">
        <v>226</v>
      </c>
      <c r="I737" s="24" t="s">
        <v>225</v>
      </c>
      <c r="J737" s="23" t="s">
        <v>226</v>
      </c>
      <c r="K737" s="24" t="s">
        <v>225</v>
      </c>
      <c r="L737" s="23"/>
      <c r="M737" s="26" t="s">
        <v>489</v>
      </c>
      <c r="N737" s="24">
        <v>2020</v>
      </c>
    </row>
    <row r="738" spans="1:14">
      <c r="A738" s="24">
        <v>2020</v>
      </c>
      <c r="B738" s="24" t="s">
        <v>78</v>
      </c>
      <c r="C738" s="24" t="s">
        <v>79</v>
      </c>
      <c r="D738" s="24" t="s">
        <v>51</v>
      </c>
      <c r="E738" s="23"/>
      <c r="F738" s="24" t="s">
        <v>211</v>
      </c>
      <c r="G738" s="24" t="s">
        <v>225</v>
      </c>
      <c r="H738" s="23" t="s">
        <v>225</v>
      </c>
      <c r="I738" s="24" t="s">
        <v>226</v>
      </c>
      <c r="J738" s="23" t="s">
        <v>226</v>
      </c>
      <c r="K738" s="24" t="s">
        <v>225</v>
      </c>
      <c r="L738" s="23"/>
      <c r="M738" s="26" t="s">
        <v>489</v>
      </c>
      <c r="N738" s="24">
        <v>2020</v>
      </c>
    </row>
    <row r="739" spans="1:14">
      <c r="A739" s="24">
        <v>2020</v>
      </c>
      <c r="B739" s="24" t="s">
        <v>136</v>
      </c>
      <c r="C739" s="24" t="s">
        <v>176</v>
      </c>
      <c r="D739" s="24" t="s">
        <v>177</v>
      </c>
      <c r="E739" s="23">
        <v>1</v>
      </c>
      <c r="F739" s="24" t="s">
        <v>211</v>
      </c>
      <c r="G739" s="24" t="s">
        <v>225</v>
      </c>
      <c r="H739" s="23" t="s">
        <v>226</v>
      </c>
      <c r="I739" s="24" t="s">
        <v>225</v>
      </c>
      <c r="J739" s="23" t="s">
        <v>226</v>
      </c>
      <c r="K739" s="24" t="s">
        <v>225</v>
      </c>
      <c r="L739" s="23"/>
      <c r="M739" s="26" t="s">
        <v>490</v>
      </c>
      <c r="N739" s="24">
        <v>2020</v>
      </c>
    </row>
    <row r="740" spans="1:14">
      <c r="A740" s="24">
        <v>2020</v>
      </c>
      <c r="B740" s="24" t="s">
        <v>136</v>
      </c>
      <c r="C740" s="24" t="s">
        <v>189</v>
      </c>
      <c r="D740" s="24" t="s">
        <v>491</v>
      </c>
      <c r="E740" s="23">
        <v>3</v>
      </c>
      <c r="F740" s="24" t="s">
        <v>211</v>
      </c>
      <c r="G740" s="23" t="s">
        <v>226</v>
      </c>
      <c r="H740" s="23" t="s">
        <v>226</v>
      </c>
      <c r="I740" s="24" t="s">
        <v>226</v>
      </c>
      <c r="J740" s="23" t="s">
        <v>226</v>
      </c>
      <c r="K740" s="24" t="s">
        <v>225</v>
      </c>
      <c r="L740" s="23"/>
      <c r="M740" s="26" t="s">
        <v>490</v>
      </c>
      <c r="N740" s="24">
        <v>2020</v>
      </c>
    </row>
    <row r="741" spans="1:14">
      <c r="A741" s="24">
        <v>2020</v>
      </c>
      <c r="B741" s="24" t="s">
        <v>78</v>
      </c>
      <c r="C741" s="24" t="s">
        <v>683</v>
      </c>
      <c r="D741" s="24" t="s">
        <v>113</v>
      </c>
      <c r="E741" s="23"/>
      <c r="F741" s="24" t="s">
        <v>207</v>
      </c>
      <c r="G741" s="24" t="s">
        <v>225</v>
      </c>
      <c r="H741" s="23" t="s">
        <v>225</v>
      </c>
      <c r="I741" s="24" t="s">
        <v>225</v>
      </c>
      <c r="J741" s="23" t="s">
        <v>226</v>
      </c>
      <c r="K741" s="24" t="s">
        <v>225</v>
      </c>
      <c r="L741" s="23"/>
      <c r="M741" s="26" t="s">
        <v>490</v>
      </c>
      <c r="N741" s="24">
        <v>2020</v>
      </c>
    </row>
    <row r="742" spans="1:14">
      <c r="A742" s="24">
        <v>2020</v>
      </c>
      <c r="B742" s="24" t="s">
        <v>136</v>
      </c>
      <c r="C742" s="24" t="s">
        <v>152</v>
      </c>
      <c r="D742" s="24" t="s">
        <v>157</v>
      </c>
      <c r="E742" s="28">
        <v>4</v>
      </c>
      <c r="F742" s="24" t="s">
        <v>207</v>
      </c>
      <c r="G742" s="24" t="s">
        <v>225</v>
      </c>
      <c r="H742" s="23" t="s">
        <v>225</v>
      </c>
      <c r="I742" s="24" t="s">
        <v>225</v>
      </c>
      <c r="J742" s="23" t="s">
        <v>226</v>
      </c>
      <c r="K742" s="24" t="s">
        <v>225</v>
      </c>
      <c r="L742" s="23"/>
      <c r="M742" s="26" t="s">
        <v>492</v>
      </c>
      <c r="N742" s="24">
        <v>2020</v>
      </c>
    </row>
    <row r="743" spans="1:14">
      <c r="A743" s="24">
        <v>2020</v>
      </c>
      <c r="B743" s="24" t="s">
        <v>4</v>
      </c>
      <c r="C743" s="24" t="s">
        <v>5</v>
      </c>
      <c r="D743" s="24" t="s">
        <v>10</v>
      </c>
      <c r="E743" s="23">
        <v>4</v>
      </c>
      <c r="F743" s="24" t="s">
        <v>207</v>
      </c>
      <c r="G743" s="24" t="s">
        <v>225</v>
      </c>
      <c r="H743" s="23" t="s">
        <v>226</v>
      </c>
      <c r="I743" s="24" t="s">
        <v>225</v>
      </c>
      <c r="J743" s="23" t="s">
        <v>226</v>
      </c>
      <c r="K743" s="24" t="s">
        <v>225</v>
      </c>
      <c r="L743" s="23"/>
      <c r="M743" s="26" t="s">
        <v>492</v>
      </c>
      <c r="N743" s="24">
        <v>2020</v>
      </c>
    </row>
    <row r="744" spans="1:14">
      <c r="A744" s="24">
        <v>2020</v>
      </c>
      <c r="B744" s="24" t="s">
        <v>4</v>
      </c>
      <c r="C744" s="24" t="s">
        <v>31</v>
      </c>
      <c r="D744" s="24" t="s">
        <v>32</v>
      </c>
      <c r="E744" s="23">
        <v>32</v>
      </c>
      <c r="F744" s="24" t="s">
        <v>207</v>
      </c>
      <c r="G744" s="24" t="s">
        <v>225</v>
      </c>
      <c r="H744" s="23" t="s">
        <v>226</v>
      </c>
      <c r="I744" s="24" t="s">
        <v>226</v>
      </c>
      <c r="J744" s="23" t="s">
        <v>226</v>
      </c>
      <c r="K744" s="24" t="s">
        <v>225</v>
      </c>
      <c r="L744" s="23"/>
      <c r="M744" s="26" t="s">
        <v>492</v>
      </c>
      <c r="N744" s="24">
        <v>2020</v>
      </c>
    </row>
    <row r="745" spans="1:14">
      <c r="A745" s="24">
        <v>2020</v>
      </c>
      <c r="B745" s="24" t="s">
        <v>4</v>
      </c>
      <c r="C745" s="24" t="s">
        <v>23</v>
      </c>
      <c r="D745" s="24" t="s">
        <v>27</v>
      </c>
      <c r="E745" s="23">
        <v>2</v>
      </c>
      <c r="F745" s="24" t="s">
        <v>211</v>
      </c>
      <c r="G745" s="24" t="s">
        <v>225</v>
      </c>
      <c r="H745" s="23" t="s">
        <v>226</v>
      </c>
      <c r="I745" s="24" t="s">
        <v>225</v>
      </c>
      <c r="J745" s="23" t="s">
        <v>226</v>
      </c>
      <c r="K745" s="24" t="s">
        <v>225</v>
      </c>
      <c r="L745" s="23"/>
      <c r="M745" s="26" t="s">
        <v>493</v>
      </c>
      <c r="N745" s="24">
        <v>2020</v>
      </c>
    </row>
    <row r="746" spans="1:14">
      <c r="A746" s="24">
        <v>2020</v>
      </c>
      <c r="B746" s="24" t="s">
        <v>136</v>
      </c>
      <c r="C746" s="24" t="s">
        <v>146</v>
      </c>
      <c r="D746" s="24" t="s">
        <v>147</v>
      </c>
      <c r="E746" s="23">
        <v>1</v>
      </c>
      <c r="F746" s="24" t="s">
        <v>211</v>
      </c>
      <c r="G746" s="24" t="s">
        <v>225</v>
      </c>
      <c r="H746" s="23" t="s">
        <v>226</v>
      </c>
      <c r="I746" s="24" t="s">
        <v>225</v>
      </c>
      <c r="J746" s="23" t="s">
        <v>226</v>
      </c>
      <c r="K746" s="24" t="s">
        <v>225</v>
      </c>
      <c r="L746" s="23"/>
      <c r="M746" s="26" t="s">
        <v>493</v>
      </c>
      <c r="N746" s="24">
        <v>2020</v>
      </c>
    </row>
    <row r="747" spans="1:14">
      <c r="A747" s="24">
        <v>2020</v>
      </c>
      <c r="B747" s="24" t="s">
        <v>136</v>
      </c>
      <c r="C747" s="24" t="s">
        <v>146</v>
      </c>
      <c r="D747" s="24" t="s">
        <v>147</v>
      </c>
      <c r="E747" s="23">
        <v>4</v>
      </c>
      <c r="F747" s="24" t="s">
        <v>211</v>
      </c>
      <c r="G747" s="24" t="s">
        <v>225</v>
      </c>
      <c r="H747" s="23" t="s">
        <v>226</v>
      </c>
      <c r="I747" s="24" t="s">
        <v>225</v>
      </c>
      <c r="J747" s="23" t="s">
        <v>226</v>
      </c>
      <c r="K747" s="24" t="s">
        <v>225</v>
      </c>
      <c r="L747" s="23"/>
      <c r="M747" s="26" t="s">
        <v>494</v>
      </c>
      <c r="N747" s="24">
        <v>2020</v>
      </c>
    </row>
    <row r="748" spans="1:14">
      <c r="A748" s="24">
        <v>2020</v>
      </c>
      <c r="B748" s="24" t="s">
        <v>136</v>
      </c>
      <c r="C748" s="24" t="s">
        <v>137</v>
      </c>
      <c r="D748" s="24" t="s">
        <v>138</v>
      </c>
      <c r="E748" s="23">
        <v>4</v>
      </c>
      <c r="F748" s="24" t="s">
        <v>207</v>
      </c>
      <c r="G748" s="24" t="s">
        <v>225</v>
      </c>
      <c r="H748" s="23" t="s">
        <v>226</v>
      </c>
      <c r="I748" s="24" t="s">
        <v>225</v>
      </c>
      <c r="J748" s="23" t="s">
        <v>226</v>
      </c>
      <c r="K748" s="24" t="s">
        <v>225</v>
      </c>
      <c r="L748" s="23"/>
      <c r="M748" s="26" t="s">
        <v>494</v>
      </c>
      <c r="N748" s="24">
        <v>2020</v>
      </c>
    </row>
    <row r="749" spans="1:14">
      <c r="A749" s="24">
        <v>2020</v>
      </c>
      <c r="B749" s="24" t="s">
        <v>136</v>
      </c>
      <c r="C749" s="24" t="s">
        <v>189</v>
      </c>
      <c r="D749" s="24" t="s">
        <v>190</v>
      </c>
      <c r="E749" s="23">
        <v>1</v>
      </c>
      <c r="F749" s="24" t="s">
        <v>207</v>
      </c>
      <c r="G749" s="24" t="s">
        <v>225</v>
      </c>
      <c r="H749" s="23" t="s">
        <v>226</v>
      </c>
      <c r="I749" s="24" t="s">
        <v>225</v>
      </c>
      <c r="J749" s="23" t="s">
        <v>226</v>
      </c>
      <c r="K749" s="24" t="s">
        <v>225</v>
      </c>
      <c r="L749" s="23"/>
      <c r="M749" s="26" t="s">
        <v>494</v>
      </c>
      <c r="N749" s="24">
        <v>2020</v>
      </c>
    </row>
    <row r="750" spans="1:14">
      <c r="A750" s="24">
        <v>2020</v>
      </c>
      <c r="B750" s="24" t="s">
        <v>4</v>
      </c>
      <c r="C750" s="24" t="s">
        <v>5</v>
      </c>
      <c r="D750" s="24" t="s">
        <v>6</v>
      </c>
      <c r="E750" s="23"/>
      <c r="F750" s="24" t="s">
        <v>207</v>
      </c>
      <c r="G750" s="24" t="s">
        <v>225</v>
      </c>
      <c r="H750" s="23" t="s">
        <v>225</v>
      </c>
      <c r="I750" s="24" t="s">
        <v>225</v>
      </c>
      <c r="J750" s="23" t="s">
        <v>226</v>
      </c>
      <c r="K750" s="24" t="s">
        <v>225</v>
      </c>
      <c r="L750" s="23"/>
      <c r="M750" s="26" t="s">
        <v>494</v>
      </c>
      <c r="N750" s="24">
        <v>2020</v>
      </c>
    </row>
    <row r="751" spans="1:14">
      <c r="A751" s="24">
        <v>2020</v>
      </c>
      <c r="B751" s="24" t="s">
        <v>4</v>
      </c>
      <c r="C751" s="24" t="s">
        <v>23</v>
      </c>
      <c r="D751" s="24" t="s">
        <v>28</v>
      </c>
      <c r="E751" s="23">
        <v>4</v>
      </c>
      <c r="F751" s="24" t="s">
        <v>207</v>
      </c>
      <c r="G751" s="24" t="s">
        <v>225</v>
      </c>
      <c r="H751" s="23" t="s">
        <v>226</v>
      </c>
      <c r="I751" s="24" t="s">
        <v>226</v>
      </c>
      <c r="J751" s="23" t="s">
        <v>226</v>
      </c>
      <c r="K751" s="24" t="s">
        <v>225</v>
      </c>
      <c r="L751" s="23"/>
      <c r="M751" s="26" t="s">
        <v>494</v>
      </c>
      <c r="N751" s="24">
        <v>2020</v>
      </c>
    </row>
    <row r="752" spans="1:14">
      <c r="A752" s="24">
        <v>2020</v>
      </c>
      <c r="B752" s="24" t="s">
        <v>4</v>
      </c>
      <c r="C752" s="24" t="s">
        <v>5</v>
      </c>
      <c r="D752" s="24" t="s">
        <v>12</v>
      </c>
      <c r="E752" s="23">
        <v>4</v>
      </c>
      <c r="F752" s="24" t="s">
        <v>207</v>
      </c>
      <c r="G752" s="24" t="s">
        <v>225</v>
      </c>
      <c r="H752" s="23" t="s">
        <v>226</v>
      </c>
      <c r="I752" s="24" t="s">
        <v>225</v>
      </c>
      <c r="J752" s="23" t="s">
        <v>226</v>
      </c>
      <c r="K752" s="24" t="s">
        <v>225</v>
      </c>
      <c r="L752" s="23"/>
      <c r="M752" s="26" t="s">
        <v>495</v>
      </c>
      <c r="N752" s="24">
        <v>2020</v>
      </c>
    </row>
    <row r="753" spans="1:14">
      <c r="A753" s="24">
        <v>2020</v>
      </c>
      <c r="B753" s="24" t="s">
        <v>4</v>
      </c>
      <c r="C753" s="24" t="s">
        <v>5</v>
      </c>
      <c r="D753" s="24" t="s">
        <v>12</v>
      </c>
      <c r="E753" s="23">
        <v>12</v>
      </c>
      <c r="F753" s="24" t="s">
        <v>207</v>
      </c>
      <c r="G753" s="24" t="s">
        <v>225</v>
      </c>
      <c r="H753" s="23" t="s">
        <v>226</v>
      </c>
      <c r="I753" s="24" t="s">
        <v>226</v>
      </c>
      <c r="J753" s="23" t="s">
        <v>226</v>
      </c>
      <c r="K753" s="24" t="s">
        <v>225</v>
      </c>
      <c r="L753" s="23"/>
      <c r="M753" s="26" t="s">
        <v>495</v>
      </c>
      <c r="N753" s="24">
        <v>2020</v>
      </c>
    </row>
    <row r="754" spans="1:14">
      <c r="A754" s="24">
        <v>2020</v>
      </c>
      <c r="B754" s="24" t="s">
        <v>136</v>
      </c>
      <c r="C754" s="24" t="s">
        <v>176</v>
      </c>
      <c r="D754" s="24" t="s">
        <v>177</v>
      </c>
      <c r="E754" s="23"/>
      <c r="F754" s="24" t="s">
        <v>207</v>
      </c>
      <c r="G754" s="24" t="s">
        <v>225</v>
      </c>
      <c r="H754" s="23" t="s">
        <v>225</v>
      </c>
      <c r="I754" s="24" t="s">
        <v>225</v>
      </c>
      <c r="J754" s="23" t="s">
        <v>226</v>
      </c>
      <c r="K754" s="24" t="s">
        <v>225</v>
      </c>
      <c r="L754" s="23"/>
      <c r="M754" s="26" t="s">
        <v>496</v>
      </c>
      <c r="N754" s="24">
        <v>2020</v>
      </c>
    </row>
    <row r="755" spans="1:14">
      <c r="A755" s="24">
        <v>2020</v>
      </c>
      <c r="B755" s="24" t="s">
        <v>4</v>
      </c>
      <c r="C755" s="24" t="s">
        <v>23</v>
      </c>
      <c r="D755" s="24" t="s">
        <v>29</v>
      </c>
      <c r="E755" s="23">
        <v>1</v>
      </c>
      <c r="F755" s="24" t="s">
        <v>207</v>
      </c>
      <c r="G755" s="24" t="s">
        <v>225</v>
      </c>
      <c r="H755" s="23" t="s">
        <v>226</v>
      </c>
      <c r="I755" s="24" t="s">
        <v>225</v>
      </c>
      <c r="J755" s="23" t="s">
        <v>226</v>
      </c>
      <c r="K755" s="24" t="s">
        <v>225</v>
      </c>
      <c r="L755" s="23"/>
      <c r="M755" s="25">
        <v>44115</v>
      </c>
      <c r="N755" s="24">
        <v>2020</v>
      </c>
    </row>
    <row r="756" spans="1:14">
      <c r="A756" s="24">
        <v>2020</v>
      </c>
      <c r="B756" s="24" t="s">
        <v>136</v>
      </c>
      <c r="C756" s="24" t="s">
        <v>137</v>
      </c>
      <c r="D756" s="24" t="s">
        <v>365</v>
      </c>
      <c r="E756" s="23">
        <v>1</v>
      </c>
      <c r="F756" s="24" t="s">
        <v>207</v>
      </c>
      <c r="G756" s="24" t="s">
        <v>225</v>
      </c>
      <c r="H756" s="23" t="s">
        <v>226</v>
      </c>
      <c r="I756" s="24" t="s">
        <v>225</v>
      </c>
      <c r="J756" s="23" t="s">
        <v>226</v>
      </c>
      <c r="K756" s="24" t="s">
        <v>225</v>
      </c>
      <c r="L756" s="23"/>
      <c r="M756" s="25">
        <v>44116</v>
      </c>
      <c r="N756" s="24">
        <v>2020</v>
      </c>
    </row>
    <row r="757" spans="1:14">
      <c r="A757" s="24">
        <v>2020</v>
      </c>
      <c r="B757" s="24" t="s">
        <v>4</v>
      </c>
      <c r="C757" s="24" t="s">
        <v>18</v>
      </c>
      <c r="D757" s="24" t="s">
        <v>19</v>
      </c>
      <c r="E757" s="23">
        <v>7</v>
      </c>
      <c r="F757" s="24" t="s">
        <v>207</v>
      </c>
      <c r="G757" s="24" t="s">
        <v>225</v>
      </c>
      <c r="H757" s="23" t="s">
        <v>226</v>
      </c>
      <c r="I757" s="24" t="s">
        <v>226</v>
      </c>
      <c r="J757" s="23" t="s">
        <v>226</v>
      </c>
      <c r="K757" s="24" t="s">
        <v>225</v>
      </c>
      <c r="L757" s="23"/>
      <c r="M757" s="25">
        <v>44116</v>
      </c>
      <c r="N757" s="24">
        <v>2020</v>
      </c>
    </row>
    <row r="758" spans="1:14">
      <c r="A758" s="24">
        <v>2020</v>
      </c>
      <c r="B758" s="24" t="s">
        <v>4</v>
      </c>
      <c r="C758" s="24" t="s">
        <v>14</v>
      </c>
      <c r="D758" s="24" t="s">
        <v>17</v>
      </c>
      <c r="E758" s="23">
        <v>4</v>
      </c>
      <c r="F758" s="24" t="s">
        <v>211</v>
      </c>
      <c r="G758" s="24" t="s">
        <v>225</v>
      </c>
      <c r="H758" s="23" t="s">
        <v>226</v>
      </c>
      <c r="I758" s="24" t="s">
        <v>225</v>
      </c>
      <c r="J758" s="23" t="s">
        <v>226</v>
      </c>
      <c r="K758" s="24" t="s">
        <v>225</v>
      </c>
      <c r="L758" s="23"/>
      <c r="M758" s="25">
        <v>44116</v>
      </c>
      <c r="N758" s="24">
        <v>2020</v>
      </c>
    </row>
    <row r="759" spans="1:14">
      <c r="A759" s="24">
        <v>2020</v>
      </c>
      <c r="B759" s="24" t="s">
        <v>136</v>
      </c>
      <c r="C759" s="24" t="s">
        <v>137</v>
      </c>
      <c r="D759" s="24" t="s">
        <v>142</v>
      </c>
      <c r="E759" s="23">
        <v>1</v>
      </c>
      <c r="F759" s="24" t="s">
        <v>211</v>
      </c>
      <c r="G759" s="24" t="s">
        <v>225</v>
      </c>
      <c r="H759" s="23" t="s">
        <v>226</v>
      </c>
      <c r="I759" s="24" t="s">
        <v>225</v>
      </c>
      <c r="J759" s="23" t="s">
        <v>226</v>
      </c>
      <c r="K759" s="24" t="s">
        <v>225</v>
      </c>
      <c r="L759" s="23"/>
      <c r="M759" s="26" t="s">
        <v>497</v>
      </c>
      <c r="N759" s="24">
        <v>2020</v>
      </c>
    </row>
    <row r="760" spans="1:14">
      <c r="A760" s="24">
        <v>2020</v>
      </c>
      <c r="B760" s="24" t="s">
        <v>136</v>
      </c>
      <c r="C760" s="24" t="s">
        <v>189</v>
      </c>
      <c r="D760" s="24" t="s">
        <v>197</v>
      </c>
      <c r="E760" s="23"/>
      <c r="F760" s="24" t="s">
        <v>207</v>
      </c>
      <c r="G760" s="23" t="s">
        <v>226</v>
      </c>
      <c r="H760" s="23" t="s">
        <v>225</v>
      </c>
      <c r="I760" s="24" t="s">
        <v>226</v>
      </c>
      <c r="J760" s="23" t="s">
        <v>226</v>
      </c>
      <c r="K760" s="24" t="s">
        <v>225</v>
      </c>
      <c r="L760" s="23"/>
      <c r="M760" s="26" t="s">
        <v>497</v>
      </c>
      <c r="N760" s="24">
        <v>2020</v>
      </c>
    </row>
    <row r="761" spans="1:14">
      <c r="A761" s="24">
        <v>2020</v>
      </c>
      <c r="B761" s="24" t="s">
        <v>4</v>
      </c>
      <c r="C761" s="24" t="s">
        <v>18</v>
      </c>
      <c r="D761" s="24" t="s">
        <v>20</v>
      </c>
      <c r="E761" s="23">
        <v>2</v>
      </c>
      <c r="F761" s="24" t="s">
        <v>211</v>
      </c>
      <c r="G761" s="24" t="s">
        <v>225</v>
      </c>
      <c r="H761" s="23" t="s">
        <v>226</v>
      </c>
      <c r="I761" s="24" t="s">
        <v>225</v>
      </c>
      <c r="J761" s="23" t="s">
        <v>226</v>
      </c>
      <c r="K761" s="24" t="s">
        <v>225</v>
      </c>
      <c r="L761" s="23"/>
      <c r="M761" s="26" t="s">
        <v>498</v>
      </c>
      <c r="N761" s="24">
        <v>2020</v>
      </c>
    </row>
    <row r="762" spans="1:14">
      <c r="A762" s="24">
        <v>2020</v>
      </c>
      <c r="B762" s="24" t="s">
        <v>136</v>
      </c>
      <c r="C762" s="24" t="s">
        <v>189</v>
      </c>
      <c r="D762" s="24" t="s">
        <v>491</v>
      </c>
      <c r="E762" s="23">
        <v>1</v>
      </c>
      <c r="F762" s="24" t="s">
        <v>211</v>
      </c>
      <c r="G762" s="24" t="s">
        <v>225</v>
      </c>
      <c r="H762" s="23" t="s">
        <v>226</v>
      </c>
      <c r="I762" s="24" t="s">
        <v>225</v>
      </c>
      <c r="J762" s="23" t="s">
        <v>226</v>
      </c>
      <c r="K762" s="24" t="s">
        <v>225</v>
      </c>
      <c r="L762" s="23"/>
      <c r="M762" s="26" t="s">
        <v>498</v>
      </c>
      <c r="N762" s="24">
        <v>2020</v>
      </c>
    </row>
    <row r="763" spans="1:14">
      <c r="A763" s="24">
        <v>2020</v>
      </c>
      <c r="B763" s="24" t="s">
        <v>78</v>
      </c>
      <c r="C763" s="24" t="s">
        <v>103</v>
      </c>
      <c r="D763" s="24" t="s">
        <v>371</v>
      </c>
      <c r="E763" s="23">
        <v>1</v>
      </c>
      <c r="F763" s="24" t="s">
        <v>211</v>
      </c>
      <c r="G763" s="23" t="s">
        <v>226</v>
      </c>
      <c r="H763" s="23" t="s">
        <v>225</v>
      </c>
      <c r="I763" s="24" t="s">
        <v>226</v>
      </c>
      <c r="J763" s="23" t="s">
        <v>226</v>
      </c>
      <c r="K763" s="24" t="s">
        <v>225</v>
      </c>
      <c r="L763" s="23"/>
      <c r="M763" s="26" t="s">
        <v>498</v>
      </c>
      <c r="N763" s="24">
        <v>2020</v>
      </c>
    </row>
    <row r="764" spans="1:14">
      <c r="A764" s="24">
        <v>2020</v>
      </c>
      <c r="B764" s="24" t="s">
        <v>78</v>
      </c>
      <c r="C764" s="24" t="s">
        <v>122</v>
      </c>
      <c r="D764" s="24" t="s">
        <v>125</v>
      </c>
      <c r="E764" s="23"/>
      <c r="F764" s="24" t="s">
        <v>207</v>
      </c>
      <c r="G764" s="24" t="s">
        <v>225</v>
      </c>
      <c r="H764" s="23" t="s">
        <v>225</v>
      </c>
      <c r="I764" s="24" t="s">
        <v>225</v>
      </c>
      <c r="J764" s="23" t="s">
        <v>226</v>
      </c>
      <c r="K764" s="24" t="s">
        <v>225</v>
      </c>
      <c r="L764" s="23"/>
      <c r="M764" s="26" t="s">
        <v>499</v>
      </c>
      <c r="N764" s="24">
        <v>2020</v>
      </c>
    </row>
    <row r="765" spans="1:14">
      <c r="A765" s="24">
        <v>2020</v>
      </c>
      <c r="B765" s="24" t="s">
        <v>136</v>
      </c>
      <c r="C765" s="24" t="s">
        <v>189</v>
      </c>
      <c r="D765" s="24" t="s">
        <v>193</v>
      </c>
      <c r="E765" s="23">
        <v>1</v>
      </c>
      <c r="F765" s="24" t="s">
        <v>207</v>
      </c>
      <c r="G765" s="24" t="s">
        <v>225</v>
      </c>
      <c r="H765" s="23" t="s">
        <v>226</v>
      </c>
      <c r="I765" s="24" t="s">
        <v>225</v>
      </c>
      <c r="J765" s="23" t="s">
        <v>226</v>
      </c>
      <c r="K765" s="24" t="s">
        <v>225</v>
      </c>
      <c r="L765" s="23"/>
      <c r="M765" s="26" t="s">
        <v>500</v>
      </c>
      <c r="N765" s="24">
        <v>2020</v>
      </c>
    </row>
    <row r="766" spans="1:14">
      <c r="A766" s="24">
        <v>2020</v>
      </c>
      <c r="B766" s="24" t="s">
        <v>78</v>
      </c>
      <c r="C766" s="24" t="s">
        <v>79</v>
      </c>
      <c r="D766" s="24" t="s">
        <v>401</v>
      </c>
      <c r="E766" s="23">
        <v>3</v>
      </c>
      <c r="F766" s="24" t="s">
        <v>207</v>
      </c>
      <c r="G766" s="24" t="s">
        <v>225</v>
      </c>
      <c r="H766" s="23" t="s">
        <v>226</v>
      </c>
      <c r="I766" s="24" t="s">
        <v>226</v>
      </c>
      <c r="J766" s="23" t="s">
        <v>226</v>
      </c>
      <c r="K766" s="24" t="s">
        <v>225</v>
      </c>
      <c r="L766" s="23"/>
      <c r="M766" s="26" t="s">
        <v>501</v>
      </c>
      <c r="N766" s="24">
        <v>2020</v>
      </c>
    </row>
    <row r="767" spans="1:14">
      <c r="A767" s="24">
        <v>2020</v>
      </c>
      <c r="B767" s="24" t="s">
        <v>136</v>
      </c>
      <c r="C767" s="24" t="s">
        <v>137</v>
      </c>
      <c r="D767" s="24" t="s">
        <v>144</v>
      </c>
      <c r="E767" s="23"/>
      <c r="F767" s="24" t="s">
        <v>211</v>
      </c>
      <c r="G767" s="24" t="s">
        <v>225</v>
      </c>
      <c r="H767" s="23" t="s">
        <v>225</v>
      </c>
      <c r="I767" s="24" t="s">
        <v>225</v>
      </c>
      <c r="J767" s="23" t="s">
        <v>226</v>
      </c>
      <c r="K767" s="24" t="s">
        <v>225</v>
      </c>
      <c r="L767" s="23"/>
      <c r="M767" s="26" t="s">
        <v>501</v>
      </c>
      <c r="N767" s="24">
        <v>2020</v>
      </c>
    </row>
    <row r="768" spans="1:14">
      <c r="A768" s="24">
        <v>2020</v>
      </c>
      <c r="B768" s="24" t="s">
        <v>4</v>
      </c>
      <c r="C768" s="24" t="s">
        <v>5</v>
      </c>
      <c r="D768" s="24" t="s">
        <v>7</v>
      </c>
      <c r="E768" s="23">
        <v>9</v>
      </c>
      <c r="F768" s="24" t="s">
        <v>211</v>
      </c>
      <c r="G768" s="24" t="s">
        <v>225</v>
      </c>
      <c r="H768" s="23" t="s">
        <v>226</v>
      </c>
      <c r="I768" s="24" t="s">
        <v>226</v>
      </c>
      <c r="J768" s="23" t="s">
        <v>226</v>
      </c>
      <c r="K768" s="24" t="s">
        <v>225</v>
      </c>
      <c r="L768" s="23"/>
      <c r="M768" s="26" t="s">
        <v>501</v>
      </c>
      <c r="N768" s="24">
        <v>2020</v>
      </c>
    </row>
    <row r="769" spans="1:14">
      <c r="A769" s="24">
        <v>2020</v>
      </c>
      <c r="B769" s="24" t="s">
        <v>136</v>
      </c>
      <c r="C769" s="24" t="s">
        <v>137</v>
      </c>
      <c r="D769" s="24" t="s">
        <v>143</v>
      </c>
      <c r="E769" s="23">
        <v>8</v>
      </c>
      <c r="F769" s="24" t="s">
        <v>207</v>
      </c>
      <c r="G769" s="24" t="s">
        <v>225</v>
      </c>
      <c r="H769" s="23" t="s">
        <v>226</v>
      </c>
      <c r="I769" s="24" t="s">
        <v>225</v>
      </c>
      <c r="J769" s="23" t="s">
        <v>226</v>
      </c>
      <c r="K769" s="24" t="s">
        <v>225</v>
      </c>
      <c r="L769" s="23"/>
      <c r="M769" s="26" t="s">
        <v>502</v>
      </c>
      <c r="N769" s="24">
        <v>2020</v>
      </c>
    </row>
    <row r="770" spans="1:14">
      <c r="A770" s="24">
        <v>2020</v>
      </c>
      <c r="B770" s="24" t="s">
        <v>4</v>
      </c>
      <c r="C770" s="24" t="s">
        <v>203</v>
      </c>
      <c r="D770" s="24" t="s">
        <v>204</v>
      </c>
      <c r="E770" s="23">
        <v>4</v>
      </c>
      <c r="F770" s="24" t="s">
        <v>207</v>
      </c>
      <c r="G770" s="24" t="s">
        <v>225</v>
      </c>
      <c r="H770" s="23" t="s">
        <v>226</v>
      </c>
      <c r="I770" s="24" t="s">
        <v>226</v>
      </c>
      <c r="J770" s="23" t="s">
        <v>226</v>
      </c>
      <c r="K770" s="24" t="s">
        <v>225</v>
      </c>
      <c r="L770" s="23"/>
      <c r="M770" s="26" t="s">
        <v>502</v>
      </c>
      <c r="N770" s="24">
        <v>2020</v>
      </c>
    </row>
    <row r="771" spans="1:14">
      <c r="A771" s="24">
        <v>2020</v>
      </c>
      <c r="B771" s="24" t="s">
        <v>78</v>
      </c>
      <c r="C771" s="24" t="s">
        <v>683</v>
      </c>
      <c r="D771" s="24" t="s">
        <v>118</v>
      </c>
      <c r="E771" s="23">
        <v>2</v>
      </c>
      <c r="F771" s="24" t="s">
        <v>211</v>
      </c>
      <c r="G771" s="24" t="s">
        <v>225</v>
      </c>
      <c r="H771" s="23" t="s">
        <v>226</v>
      </c>
      <c r="I771" s="24" t="s">
        <v>226</v>
      </c>
      <c r="J771" s="23" t="s">
        <v>226</v>
      </c>
      <c r="K771" s="24" t="s">
        <v>225</v>
      </c>
      <c r="L771" s="23"/>
      <c r="M771" s="26" t="s">
        <v>502</v>
      </c>
      <c r="N771" s="24">
        <v>2020</v>
      </c>
    </row>
    <row r="772" spans="1:14">
      <c r="A772" s="24">
        <v>2020</v>
      </c>
      <c r="B772" s="24" t="s">
        <v>136</v>
      </c>
      <c r="C772" s="24" t="s">
        <v>168</v>
      </c>
      <c r="D772" s="24" t="s">
        <v>170</v>
      </c>
      <c r="E772" s="23">
        <v>9</v>
      </c>
      <c r="F772" s="24" t="s">
        <v>211</v>
      </c>
      <c r="G772" s="24" t="s">
        <v>225</v>
      </c>
      <c r="H772" s="23" t="s">
        <v>226</v>
      </c>
      <c r="I772" s="24" t="s">
        <v>225</v>
      </c>
      <c r="J772" s="23" t="s">
        <v>226</v>
      </c>
      <c r="K772" s="24" t="s">
        <v>225</v>
      </c>
      <c r="L772" s="23"/>
      <c r="M772" s="26" t="s">
        <v>502</v>
      </c>
      <c r="N772" s="24">
        <v>2020</v>
      </c>
    </row>
    <row r="773" spans="1:14">
      <c r="A773" s="24">
        <v>2020</v>
      </c>
      <c r="B773" s="24" t="s">
        <v>136</v>
      </c>
      <c r="C773" s="24" t="s">
        <v>171</v>
      </c>
      <c r="D773" s="24" t="s">
        <v>173</v>
      </c>
      <c r="E773" s="23"/>
      <c r="F773" s="24" t="s">
        <v>207</v>
      </c>
      <c r="G773" s="24" t="s">
        <v>225</v>
      </c>
      <c r="H773" s="23" t="s">
        <v>225</v>
      </c>
      <c r="I773" s="24" t="s">
        <v>225</v>
      </c>
      <c r="J773" s="23" t="s">
        <v>226</v>
      </c>
      <c r="K773" s="24" t="s">
        <v>225</v>
      </c>
      <c r="L773" s="23"/>
      <c r="M773" s="26" t="s">
        <v>503</v>
      </c>
      <c r="N773" s="24">
        <v>2020</v>
      </c>
    </row>
    <row r="774" spans="1:14">
      <c r="A774" s="24">
        <v>2020</v>
      </c>
      <c r="B774" s="24" t="s">
        <v>78</v>
      </c>
      <c r="C774" s="24" t="s">
        <v>95</v>
      </c>
      <c r="D774" s="24" t="s">
        <v>99</v>
      </c>
      <c r="E774" s="23"/>
      <c r="F774" s="24" t="s">
        <v>211</v>
      </c>
      <c r="G774" s="24" t="s">
        <v>225</v>
      </c>
      <c r="H774" s="23" t="s">
        <v>225</v>
      </c>
      <c r="I774" s="24" t="s">
        <v>225</v>
      </c>
      <c r="J774" s="23" t="s">
        <v>226</v>
      </c>
      <c r="K774" s="24" t="s">
        <v>225</v>
      </c>
      <c r="L774" s="23"/>
      <c r="M774" s="26" t="s">
        <v>504</v>
      </c>
      <c r="N774" s="24">
        <v>2020</v>
      </c>
    </row>
    <row r="775" spans="1:14">
      <c r="A775" s="24">
        <v>2020</v>
      </c>
      <c r="B775" s="24" t="s">
        <v>136</v>
      </c>
      <c r="C775" s="24" t="s">
        <v>137</v>
      </c>
      <c r="D775" s="24" t="s">
        <v>138</v>
      </c>
      <c r="E775" s="23">
        <v>19</v>
      </c>
      <c r="F775" s="24" t="s">
        <v>207</v>
      </c>
      <c r="G775" s="24" t="s">
        <v>225</v>
      </c>
      <c r="H775" s="23" t="s">
        <v>226</v>
      </c>
      <c r="I775" s="24" t="s">
        <v>226</v>
      </c>
      <c r="J775" s="23" t="s">
        <v>226</v>
      </c>
      <c r="K775" s="24" t="s">
        <v>225</v>
      </c>
      <c r="L775" s="23"/>
      <c r="M775" s="26" t="s">
        <v>504</v>
      </c>
      <c r="N775" s="24">
        <v>2020</v>
      </c>
    </row>
    <row r="776" spans="1:14">
      <c r="A776" s="24">
        <v>2020</v>
      </c>
      <c r="B776" s="24" t="s">
        <v>78</v>
      </c>
      <c r="C776" s="24" t="s">
        <v>122</v>
      </c>
      <c r="D776" s="24" t="s">
        <v>368</v>
      </c>
      <c r="E776" s="23">
        <v>4</v>
      </c>
      <c r="F776" s="24" t="s">
        <v>207</v>
      </c>
      <c r="G776" s="24" t="s">
        <v>225</v>
      </c>
      <c r="H776" s="23" t="s">
        <v>226</v>
      </c>
      <c r="I776" s="24" t="s">
        <v>225</v>
      </c>
      <c r="J776" s="23" t="s">
        <v>226</v>
      </c>
      <c r="K776" s="24" t="s">
        <v>225</v>
      </c>
      <c r="L776" s="23"/>
      <c r="M776" s="26" t="s">
        <v>504</v>
      </c>
      <c r="N776" s="24">
        <v>2020</v>
      </c>
    </row>
    <row r="777" spans="1:14">
      <c r="A777" s="24">
        <v>2020</v>
      </c>
      <c r="B777" s="24" t="s">
        <v>4</v>
      </c>
      <c r="C777" s="24" t="s">
        <v>5</v>
      </c>
      <c r="D777" s="24" t="s">
        <v>7</v>
      </c>
      <c r="E777" s="23">
        <v>78</v>
      </c>
      <c r="F777" s="24" t="s">
        <v>207</v>
      </c>
      <c r="G777" s="24" t="s">
        <v>225</v>
      </c>
      <c r="H777" s="23" t="s">
        <v>226</v>
      </c>
      <c r="I777" s="24" t="s">
        <v>226</v>
      </c>
      <c r="J777" s="23" t="s">
        <v>226</v>
      </c>
      <c r="K777" s="24" t="s">
        <v>225</v>
      </c>
      <c r="L777" s="23"/>
      <c r="M777" s="26" t="s">
        <v>505</v>
      </c>
      <c r="N777" s="24">
        <v>2020</v>
      </c>
    </row>
    <row r="778" spans="1:14">
      <c r="A778" s="24">
        <v>2020</v>
      </c>
      <c r="B778" s="24" t="s">
        <v>78</v>
      </c>
      <c r="C778" s="24" t="s">
        <v>122</v>
      </c>
      <c r="D778" s="24" t="s">
        <v>123</v>
      </c>
      <c r="E778" s="23"/>
      <c r="F778" s="24" t="s">
        <v>211</v>
      </c>
      <c r="G778" s="24" t="s">
        <v>225</v>
      </c>
      <c r="H778" s="23" t="s">
        <v>225</v>
      </c>
      <c r="I778" s="24" t="s">
        <v>225</v>
      </c>
      <c r="J778" s="23" t="s">
        <v>226</v>
      </c>
      <c r="K778" s="24" t="s">
        <v>225</v>
      </c>
      <c r="L778" s="23"/>
      <c r="M778" s="26" t="s">
        <v>505</v>
      </c>
      <c r="N778" s="24">
        <v>2020</v>
      </c>
    </row>
    <row r="779" spans="1:14">
      <c r="A779" s="24">
        <v>2020</v>
      </c>
      <c r="B779" s="24" t="s">
        <v>78</v>
      </c>
      <c r="C779" s="24" t="s">
        <v>683</v>
      </c>
      <c r="D779" s="24" t="s">
        <v>115</v>
      </c>
      <c r="E779" s="23">
        <v>1</v>
      </c>
      <c r="F779" s="24" t="s">
        <v>207</v>
      </c>
      <c r="G779" s="24" t="s">
        <v>225</v>
      </c>
      <c r="H779" s="23" t="s">
        <v>226</v>
      </c>
      <c r="I779" s="24" t="s">
        <v>225</v>
      </c>
      <c r="J779" s="23" t="s">
        <v>226</v>
      </c>
      <c r="K779" s="24" t="s">
        <v>225</v>
      </c>
      <c r="L779" s="23"/>
      <c r="M779" s="26" t="s">
        <v>505</v>
      </c>
      <c r="N779" s="24">
        <v>2020</v>
      </c>
    </row>
    <row r="780" spans="1:14">
      <c r="A780" s="24">
        <v>2020</v>
      </c>
      <c r="B780" s="24" t="s">
        <v>136</v>
      </c>
      <c r="C780" s="24" t="s">
        <v>189</v>
      </c>
      <c r="D780" s="24" t="s">
        <v>196</v>
      </c>
      <c r="E780" s="23"/>
      <c r="F780" s="24" t="s">
        <v>207</v>
      </c>
      <c r="G780" s="24" t="s">
        <v>225</v>
      </c>
      <c r="H780" s="23" t="s">
        <v>225</v>
      </c>
      <c r="I780" s="24" t="s">
        <v>226</v>
      </c>
      <c r="J780" s="23" t="s">
        <v>226</v>
      </c>
      <c r="K780" s="24" t="s">
        <v>225</v>
      </c>
      <c r="L780" s="23"/>
      <c r="M780" s="26" t="s">
        <v>505</v>
      </c>
      <c r="N780" s="24">
        <v>2020</v>
      </c>
    </row>
    <row r="781" spans="1:14">
      <c r="A781" s="24">
        <v>2020</v>
      </c>
      <c r="B781" s="24" t="s">
        <v>78</v>
      </c>
      <c r="C781" s="24" t="s">
        <v>681</v>
      </c>
      <c r="D781" s="24" t="s">
        <v>402</v>
      </c>
      <c r="E781" s="23">
        <v>2</v>
      </c>
      <c r="F781" s="24" t="s">
        <v>207</v>
      </c>
      <c r="G781" s="24" t="s">
        <v>225</v>
      </c>
      <c r="H781" s="23" t="s">
        <v>226</v>
      </c>
      <c r="I781" s="24" t="s">
        <v>225</v>
      </c>
      <c r="J781" s="23" t="s">
        <v>226</v>
      </c>
      <c r="K781" s="24" t="s">
        <v>225</v>
      </c>
      <c r="L781" s="23"/>
      <c r="M781" s="26" t="s">
        <v>505</v>
      </c>
      <c r="N781" s="24">
        <v>2020</v>
      </c>
    </row>
    <row r="782" spans="1:14">
      <c r="A782" s="24">
        <v>2020</v>
      </c>
      <c r="B782" s="24" t="s">
        <v>78</v>
      </c>
      <c r="C782" s="24" t="s">
        <v>103</v>
      </c>
      <c r="D782" s="24" t="s">
        <v>108</v>
      </c>
      <c r="E782" s="23">
        <v>5</v>
      </c>
      <c r="F782" s="24" t="s">
        <v>207</v>
      </c>
      <c r="G782" s="23" t="s">
        <v>226</v>
      </c>
      <c r="H782" s="23" t="s">
        <v>226</v>
      </c>
      <c r="I782" s="24" t="s">
        <v>226</v>
      </c>
      <c r="J782" s="23" t="s">
        <v>226</v>
      </c>
      <c r="K782" s="24" t="s">
        <v>225</v>
      </c>
      <c r="L782" s="23"/>
      <c r="M782" s="25">
        <v>44147</v>
      </c>
      <c r="N782" s="24">
        <v>2020</v>
      </c>
    </row>
    <row r="783" spans="1:14">
      <c r="A783" s="24">
        <v>2020</v>
      </c>
      <c r="B783" s="24" t="s">
        <v>4</v>
      </c>
      <c r="C783" s="24" t="s">
        <v>5</v>
      </c>
      <c r="D783" s="24" t="s">
        <v>11</v>
      </c>
      <c r="E783" s="23">
        <v>12</v>
      </c>
      <c r="F783" s="24" t="s">
        <v>207</v>
      </c>
      <c r="G783" s="24" t="s">
        <v>225</v>
      </c>
      <c r="H783" s="23" t="s">
        <v>226</v>
      </c>
      <c r="I783" s="24" t="s">
        <v>226</v>
      </c>
      <c r="J783" s="23" t="s">
        <v>226</v>
      </c>
      <c r="K783" s="24" t="s">
        <v>225</v>
      </c>
      <c r="L783" s="23"/>
      <c r="M783" s="25">
        <v>44147</v>
      </c>
      <c r="N783" s="24">
        <v>2020</v>
      </c>
    </row>
    <row r="784" spans="1:14">
      <c r="A784" s="24">
        <v>2020</v>
      </c>
      <c r="B784" s="24" t="s">
        <v>136</v>
      </c>
      <c r="C784" s="24" t="s">
        <v>189</v>
      </c>
      <c r="D784" s="24" t="s">
        <v>258</v>
      </c>
      <c r="E784" s="23"/>
      <c r="F784" s="24" t="s">
        <v>207</v>
      </c>
      <c r="G784" s="24" t="s">
        <v>225</v>
      </c>
      <c r="H784" s="23" t="s">
        <v>225</v>
      </c>
      <c r="I784" s="24" t="s">
        <v>225</v>
      </c>
      <c r="J784" s="23" t="s">
        <v>226</v>
      </c>
      <c r="K784" s="24" t="s">
        <v>225</v>
      </c>
      <c r="L784" s="23"/>
      <c r="M784" s="25">
        <v>44147</v>
      </c>
      <c r="N784" s="24">
        <v>2020</v>
      </c>
    </row>
    <row r="785" spans="1:14">
      <c r="A785" s="24">
        <v>2020</v>
      </c>
      <c r="B785" s="24" t="s">
        <v>4</v>
      </c>
      <c r="C785" s="24" t="s">
        <v>18</v>
      </c>
      <c r="D785" s="24" t="s">
        <v>21</v>
      </c>
      <c r="E785" s="23">
        <v>2</v>
      </c>
      <c r="F785" s="24" t="s">
        <v>211</v>
      </c>
      <c r="G785" s="24" t="s">
        <v>225</v>
      </c>
      <c r="H785" s="23" t="s">
        <v>226</v>
      </c>
      <c r="I785" s="24" t="s">
        <v>225</v>
      </c>
      <c r="J785" s="23" t="s">
        <v>226</v>
      </c>
      <c r="K785" s="24" t="s">
        <v>225</v>
      </c>
      <c r="L785" s="23"/>
      <c r="M785" s="25">
        <v>44147</v>
      </c>
      <c r="N785" s="24">
        <v>2020</v>
      </c>
    </row>
    <row r="786" spans="1:14">
      <c r="A786" s="24">
        <v>2020</v>
      </c>
      <c r="B786" s="24" t="s">
        <v>4</v>
      </c>
      <c r="C786" s="24" t="s">
        <v>23</v>
      </c>
      <c r="D786" s="24" t="s">
        <v>26</v>
      </c>
      <c r="E786" s="23">
        <v>7</v>
      </c>
      <c r="F786" s="24" t="s">
        <v>207</v>
      </c>
      <c r="G786" s="24" t="s">
        <v>225</v>
      </c>
      <c r="H786" s="23" t="s">
        <v>226</v>
      </c>
      <c r="I786" s="24" t="s">
        <v>225</v>
      </c>
      <c r="J786" s="23" t="s">
        <v>226</v>
      </c>
      <c r="K786" s="24" t="s">
        <v>225</v>
      </c>
      <c r="L786" s="23"/>
      <c r="M786" s="25">
        <v>44147</v>
      </c>
      <c r="N786" s="24">
        <v>2020</v>
      </c>
    </row>
    <row r="787" spans="1:14">
      <c r="A787" s="24">
        <v>2020</v>
      </c>
      <c r="B787" s="24" t="s">
        <v>4</v>
      </c>
      <c r="C787" s="24" t="s">
        <v>5</v>
      </c>
      <c r="D787" s="24" t="s">
        <v>7</v>
      </c>
      <c r="E787" s="23"/>
      <c r="F787" s="24" t="s">
        <v>207</v>
      </c>
      <c r="G787" s="24" t="s">
        <v>225</v>
      </c>
      <c r="H787" s="23" t="s">
        <v>225</v>
      </c>
      <c r="I787" s="24" t="s">
        <v>226</v>
      </c>
      <c r="J787" s="23" t="s">
        <v>226</v>
      </c>
      <c r="K787" s="24" t="s">
        <v>225</v>
      </c>
      <c r="L787" s="23"/>
      <c r="M787" s="25">
        <v>44147</v>
      </c>
      <c r="N787" s="24">
        <v>2020</v>
      </c>
    </row>
    <row r="788" spans="1:14">
      <c r="A788" s="24">
        <v>2020</v>
      </c>
      <c r="B788" s="24" t="s">
        <v>136</v>
      </c>
      <c r="C788" s="24" t="s">
        <v>176</v>
      </c>
      <c r="D788" s="24" t="s">
        <v>177</v>
      </c>
      <c r="E788" s="23">
        <v>6</v>
      </c>
      <c r="F788" s="24" t="s">
        <v>207</v>
      </c>
      <c r="G788" s="24" t="s">
        <v>225</v>
      </c>
      <c r="H788" s="23" t="s">
        <v>226</v>
      </c>
      <c r="I788" s="24" t="s">
        <v>226</v>
      </c>
      <c r="J788" s="23" t="s">
        <v>226</v>
      </c>
      <c r="K788" s="24" t="s">
        <v>225</v>
      </c>
      <c r="L788" s="23"/>
      <c r="M788" s="26" t="s">
        <v>506</v>
      </c>
      <c r="N788" s="24">
        <v>2020</v>
      </c>
    </row>
    <row r="789" spans="1:14">
      <c r="A789" s="24">
        <v>2020</v>
      </c>
      <c r="B789" s="24" t="s">
        <v>4</v>
      </c>
      <c r="C789" s="24" t="s">
        <v>5</v>
      </c>
      <c r="D789" s="24" t="s">
        <v>7</v>
      </c>
      <c r="E789" s="23">
        <v>47</v>
      </c>
      <c r="F789" s="24" t="s">
        <v>211</v>
      </c>
      <c r="G789" s="24" t="s">
        <v>225</v>
      </c>
      <c r="H789" s="23" t="s">
        <v>226</v>
      </c>
      <c r="I789" s="24" t="s">
        <v>226</v>
      </c>
      <c r="J789" s="23" t="s">
        <v>226</v>
      </c>
      <c r="K789" s="24" t="s">
        <v>225</v>
      </c>
      <c r="L789" s="23"/>
      <c r="M789" s="26" t="s">
        <v>506</v>
      </c>
      <c r="N789" s="24">
        <v>2020</v>
      </c>
    </row>
    <row r="790" spans="1:14">
      <c r="A790" s="24">
        <v>2020</v>
      </c>
      <c r="B790" s="24" t="s">
        <v>4</v>
      </c>
      <c r="C790" s="24" t="s">
        <v>203</v>
      </c>
      <c r="D790" s="24" t="s">
        <v>40</v>
      </c>
      <c r="E790" s="23">
        <v>12</v>
      </c>
      <c r="F790" s="24" t="s">
        <v>207</v>
      </c>
      <c r="G790" s="24" t="s">
        <v>225</v>
      </c>
      <c r="H790" s="23" t="s">
        <v>226</v>
      </c>
      <c r="I790" s="24" t="s">
        <v>225</v>
      </c>
      <c r="J790" s="23" t="s">
        <v>226</v>
      </c>
      <c r="K790" s="24" t="s">
        <v>225</v>
      </c>
      <c r="L790" s="23"/>
      <c r="M790" s="26" t="s">
        <v>506</v>
      </c>
      <c r="N790" s="24">
        <v>2020</v>
      </c>
    </row>
    <row r="791" spans="1:14">
      <c r="A791" s="24">
        <v>2020</v>
      </c>
      <c r="B791" s="24" t="s">
        <v>136</v>
      </c>
      <c r="C791" s="24" t="s">
        <v>137</v>
      </c>
      <c r="D791" s="24" t="s">
        <v>141</v>
      </c>
      <c r="E791" s="23">
        <v>2</v>
      </c>
      <c r="F791" s="24" t="s">
        <v>211</v>
      </c>
      <c r="G791" s="24" t="s">
        <v>225</v>
      </c>
      <c r="H791" s="23" t="s">
        <v>226</v>
      </c>
      <c r="I791" s="24" t="s">
        <v>225</v>
      </c>
      <c r="J791" s="23" t="s">
        <v>226</v>
      </c>
      <c r="K791" s="24" t="s">
        <v>225</v>
      </c>
      <c r="L791" s="23"/>
      <c r="M791" s="26" t="s">
        <v>507</v>
      </c>
      <c r="N791" s="24">
        <v>2020</v>
      </c>
    </row>
    <row r="792" spans="1:14">
      <c r="A792" s="24">
        <v>2020</v>
      </c>
      <c r="B792" s="24" t="s">
        <v>136</v>
      </c>
      <c r="C792" s="24" t="s">
        <v>146</v>
      </c>
      <c r="D792" s="24" t="s">
        <v>151</v>
      </c>
      <c r="E792" s="23">
        <v>37</v>
      </c>
      <c r="F792" s="24" t="s">
        <v>207</v>
      </c>
      <c r="G792" s="24" t="s">
        <v>225</v>
      </c>
      <c r="H792" s="23" t="s">
        <v>226</v>
      </c>
      <c r="I792" s="24" t="s">
        <v>225</v>
      </c>
      <c r="J792" s="23" t="s">
        <v>226</v>
      </c>
      <c r="K792" s="24" t="s">
        <v>225</v>
      </c>
      <c r="L792" s="23"/>
      <c r="M792" s="26" t="s">
        <v>508</v>
      </c>
      <c r="N792" s="24">
        <v>2020</v>
      </c>
    </row>
    <row r="793" spans="1:14">
      <c r="A793" s="24">
        <v>2020</v>
      </c>
      <c r="B793" s="24" t="s">
        <v>78</v>
      </c>
      <c r="C793" s="24" t="s">
        <v>683</v>
      </c>
      <c r="D793" s="24" t="s">
        <v>114</v>
      </c>
      <c r="E793" s="23">
        <v>4</v>
      </c>
      <c r="F793" s="24" t="s">
        <v>211</v>
      </c>
      <c r="G793" s="24" t="s">
        <v>225</v>
      </c>
      <c r="H793" s="23" t="s">
        <v>226</v>
      </c>
      <c r="I793" s="24" t="s">
        <v>225</v>
      </c>
      <c r="J793" s="23" t="s">
        <v>226</v>
      </c>
      <c r="K793" s="24" t="s">
        <v>225</v>
      </c>
      <c r="L793" s="23"/>
      <c r="M793" s="26" t="s">
        <v>508</v>
      </c>
      <c r="N793" s="24">
        <v>2020</v>
      </c>
    </row>
    <row r="794" spans="1:14">
      <c r="A794" s="24">
        <v>2020</v>
      </c>
      <c r="B794" s="24" t="s">
        <v>4</v>
      </c>
      <c r="C794" s="24" t="s">
        <v>31</v>
      </c>
      <c r="D794" s="24" t="s">
        <v>32</v>
      </c>
      <c r="E794" s="23"/>
      <c r="F794" s="24" t="s">
        <v>211</v>
      </c>
      <c r="G794" s="24" t="s">
        <v>225</v>
      </c>
      <c r="H794" s="23" t="s">
        <v>225</v>
      </c>
      <c r="I794" s="24" t="s">
        <v>225</v>
      </c>
      <c r="J794" s="23" t="s">
        <v>226</v>
      </c>
      <c r="K794" s="24" t="s">
        <v>225</v>
      </c>
      <c r="L794" s="23"/>
      <c r="M794" s="26" t="s">
        <v>509</v>
      </c>
      <c r="N794" s="24">
        <v>2020</v>
      </c>
    </row>
    <row r="795" spans="1:14">
      <c r="A795" s="24">
        <v>2020</v>
      </c>
      <c r="B795" s="24" t="s">
        <v>78</v>
      </c>
      <c r="C795" s="24" t="s">
        <v>122</v>
      </c>
      <c r="D795" s="24" t="s">
        <v>368</v>
      </c>
      <c r="E795" s="23">
        <v>9</v>
      </c>
      <c r="F795" s="24" t="s">
        <v>207</v>
      </c>
      <c r="G795" s="24" t="s">
        <v>225</v>
      </c>
      <c r="H795" s="23" t="s">
        <v>226</v>
      </c>
      <c r="I795" s="24" t="s">
        <v>226</v>
      </c>
      <c r="J795" s="23" t="s">
        <v>226</v>
      </c>
      <c r="K795" s="24" t="s">
        <v>225</v>
      </c>
      <c r="L795" s="23"/>
      <c r="M795" s="26" t="s">
        <v>510</v>
      </c>
      <c r="N795" s="24">
        <v>2020</v>
      </c>
    </row>
    <row r="796" spans="1:14">
      <c r="A796" s="24">
        <v>2020</v>
      </c>
      <c r="B796" s="24" t="s">
        <v>78</v>
      </c>
      <c r="C796" s="24" t="s">
        <v>95</v>
      </c>
      <c r="D796" s="24" t="s">
        <v>99</v>
      </c>
      <c r="E796" s="23"/>
      <c r="F796" s="24" t="s">
        <v>211</v>
      </c>
      <c r="G796" s="24" t="s">
        <v>225</v>
      </c>
      <c r="H796" s="23" t="s">
        <v>225</v>
      </c>
      <c r="I796" s="24" t="s">
        <v>225</v>
      </c>
      <c r="J796" s="23" t="s">
        <v>226</v>
      </c>
      <c r="K796" s="24" t="s">
        <v>225</v>
      </c>
      <c r="L796" s="23"/>
      <c r="M796" s="26" t="s">
        <v>510</v>
      </c>
      <c r="N796" s="24">
        <v>2020</v>
      </c>
    </row>
    <row r="797" spans="1:14">
      <c r="A797" s="24">
        <v>2020</v>
      </c>
      <c r="B797" s="24" t="s">
        <v>78</v>
      </c>
      <c r="C797" s="24" t="s">
        <v>79</v>
      </c>
      <c r="D797" s="24" t="s">
        <v>54</v>
      </c>
      <c r="E797" s="23">
        <v>2</v>
      </c>
      <c r="F797" s="24" t="s">
        <v>211</v>
      </c>
      <c r="G797" s="24" t="s">
        <v>225</v>
      </c>
      <c r="H797" s="23" t="s">
        <v>226</v>
      </c>
      <c r="I797" s="24" t="s">
        <v>226</v>
      </c>
      <c r="J797" s="23" t="s">
        <v>226</v>
      </c>
      <c r="K797" s="24" t="s">
        <v>225</v>
      </c>
      <c r="L797" s="23"/>
      <c r="M797" s="26" t="s">
        <v>510</v>
      </c>
      <c r="N797" s="24">
        <v>2020</v>
      </c>
    </row>
    <row r="798" spans="1:14">
      <c r="A798" s="24">
        <v>2020</v>
      </c>
      <c r="B798" s="24" t="s">
        <v>136</v>
      </c>
      <c r="C798" s="24" t="s">
        <v>189</v>
      </c>
      <c r="D798" s="24" t="s">
        <v>298</v>
      </c>
      <c r="E798" s="23"/>
      <c r="F798" s="24" t="s">
        <v>207</v>
      </c>
      <c r="G798" s="24" t="s">
        <v>225</v>
      </c>
      <c r="H798" s="23" t="s">
        <v>225</v>
      </c>
      <c r="I798" s="24" t="s">
        <v>225</v>
      </c>
      <c r="J798" s="23" t="s">
        <v>226</v>
      </c>
      <c r="K798" s="24" t="s">
        <v>225</v>
      </c>
      <c r="L798" s="23"/>
      <c r="M798" s="26" t="s">
        <v>510</v>
      </c>
      <c r="N798" s="24">
        <v>2020</v>
      </c>
    </row>
    <row r="799" spans="1:14">
      <c r="A799" s="24">
        <v>2020</v>
      </c>
      <c r="B799" s="24" t="s">
        <v>78</v>
      </c>
      <c r="C799" s="24" t="s">
        <v>79</v>
      </c>
      <c r="D799" s="24" t="s">
        <v>51</v>
      </c>
      <c r="E799" s="23">
        <v>11</v>
      </c>
      <c r="F799" s="24" t="s">
        <v>207</v>
      </c>
      <c r="G799" s="24" t="s">
        <v>225</v>
      </c>
      <c r="H799" s="23" t="s">
        <v>226</v>
      </c>
      <c r="I799" s="24" t="s">
        <v>225</v>
      </c>
      <c r="J799" s="23" t="s">
        <v>226</v>
      </c>
      <c r="K799" s="24" t="s">
        <v>225</v>
      </c>
      <c r="L799" s="23"/>
      <c r="M799" s="26" t="s">
        <v>510</v>
      </c>
      <c r="N799" s="24">
        <v>2020</v>
      </c>
    </row>
    <row r="800" spans="1:14">
      <c r="A800" s="24">
        <v>2020</v>
      </c>
      <c r="B800" s="24" t="s">
        <v>136</v>
      </c>
      <c r="C800" s="24" t="s">
        <v>146</v>
      </c>
      <c r="D800" s="24" t="s">
        <v>147</v>
      </c>
      <c r="E800" s="23">
        <v>2</v>
      </c>
      <c r="F800" s="24" t="s">
        <v>211</v>
      </c>
      <c r="G800" s="24" t="s">
        <v>225</v>
      </c>
      <c r="H800" s="23" t="s">
        <v>226</v>
      </c>
      <c r="I800" s="24" t="s">
        <v>225</v>
      </c>
      <c r="J800" s="23" t="s">
        <v>226</v>
      </c>
      <c r="K800" s="24" t="s">
        <v>225</v>
      </c>
      <c r="L800" s="23"/>
      <c r="M800" s="26" t="s">
        <v>511</v>
      </c>
      <c r="N800" s="24">
        <v>2020</v>
      </c>
    </row>
    <row r="801" spans="1:14">
      <c r="A801" s="24">
        <v>2020</v>
      </c>
      <c r="B801" s="24" t="s">
        <v>136</v>
      </c>
      <c r="C801" s="24" t="s">
        <v>682</v>
      </c>
      <c r="D801" s="24" t="s">
        <v>167</v>
      </c>
      <c r="E801" s="28">
        <v>9</v>
      </c>
      <c r="F801" s="24" t="s">
        <v>211</v>
      </c>
      <c r="G801" s="24" t="s">
        <v>225</v>
      </c>
      <c r="H801" s="23" t="s">
        <v>225</v>
      </c>
      <c r="I801" s="24" t="s">
        <v>225</v>
      </c>
      <c r="J801" s="23" t="s">
        <v>226</v>
      </c>
      <c r="K801" s="24" t="s">
        <v>225</v>
      </c>
      <c r="L801" s="23"/>
      <c r="M801" s="26" t="s">
        <v>511</v>
      </c>
      <c r="N801" s="24">
        <v>2020</v>
      </c>
    </row>
    <row r="802" spans="1:14">
      <c r="A802" s="24">
        <v>2020</v>
      </c>
      <c r="B802" s="24" t="s">
        <v>136</v>
      </c>
      <c r="C802" s="24" t="s">
        <v>168</v>
      </c>
      <c r="D802" s="24" t="s">
        <v>170</v>
      </c>
      <c r="E802" s="23">
        <v>2</v>
      </c>
      <c r="F802" s="24" t="s">
        <v>207</v>
      </c>
      <c r="G802" s="24" t="s">
        <v>225</v>
      </c>
      <c r="H802" s="23" t="s">
        <v>226</v>
      </c>
      <c r="I802" s="24" t="s">
        <v>225</v>
      </c>
      <c r="J802" s="23" t="s">
        <v>226</v>
      </c>
      <c r="K802" s="24" t="s">
        <v>225</v>
      </c>
      <c r="L802" s="23"/>
      <c r="M802" s="25">
        <v>44176</v>
      </c>
      <c r="N802" s="24">
        <v>2020</v>
      </c>
    </row>
    <row r="803" spans="1:14">
      <c r="A803" s="24">
        <v>2020</v>
      </c>
      <c r="B803" s="24" t="s">
        <v>78</v>
      </c>
      <c r="C803" s="24" t="s">
        <v>80</v>
      </c>
      <c r="D803" s="24" t="s">
        <v>512</v>
      </c>
      <c r="E803" s="28">
        <v>2</v>
      </c>
      <c r="F803" s="24" t="s">
        <v>207</v>
      </c>
      <c r="G803" s="24" t="s">
        <v>225</v>
      </c>
      <c r="H803" s="23" t="s">
        <v>225</v>
      </c>
      <c r="I803" s="24" t="s">
        <v>225</v>
      </c>
      <c r="J803" s="23" t="s">
        <v>226</v>
      </c>
      <c r="K803" s="24" t="s">
        <v>225</v>
      </c>
      <c r="L803" s="23"/>
      <c r="M803" s="25">
        <v>44176</v>
      </c>
      <c r="N803" s="24">
        <v>2020</v>
      </c>
    </row>
    <row r="804" spans="1:14">
      <c r="A804" s="24">
        <v>2020</v>
      </c>
      <c r="B804" s="24" t="s">
        <v>78</v>
      </c>
      <c r="C804" s="24" t="s">
        <v>122</v>
      </c>
      <c r="D804" s="24" t="s">
        <v>124</v>
      </c>
      <c r="E804" s="23">
        <v>52</v>
      </c>
      <c r="F804" s="24" t="s">
        <v>211</v>
      </c>
      <c r="G804" s="24" t="s">
        <v>225</v>
      </c>
      <c r="H804" s="23" t="s">
        <v>226</v>
      </c>
      <c r="I804" s="24" t="s">
        <v>226</v>
      </c>
      <c r="J804" s="23" t="s">
        <v>226</v>
      </c>
      <c r="K804" s="24" t="s">
        <v>225</v>
      </c>
      <c r="L804" s="23"/>
      <c r="M804" s="26" t="s">
        <v>513</v>
      </c>
      <c r="N804" s="24">
        <v>2020</v>
      </c>
    </row>
    <row r="805" spans="1:14">
      <c r="A805" s="24">
        <v>2020</v>
      </c>
      <c r="B805" s="24" t="s">
        <v>4</v>
      </c>
      <c r="C805" s="24" t="s">
        <v>31</v>
      </c>
      <c r="D805" s="24" t="s">
        <v>32</v>
      </c>
      <c r="E805" s="23">
        <v>1</v>
      </c>
      <c r="F805" s="24" t="s">
        <v>207</v>
      </c>
      <c r="G805" s="24" t="s">
        <v>225</v>
      </c>
      <c r="H805" s="23" t="s">
        <v>226</v>
      </c>
      <c r="I805" s="24" t="s">
        <v>225</v>
      </c>
      <c r="J805" s="23" t="s">
        <v>226</v>
      </c>
      <c r="K805" s="24" t="s">
        <v>225</v>
      </c>
      <c r="L805" s="23"/>
      <c r="M805" s="26" t="s">
        <v>514</v>
      </c>
      <c r="N805" s="24">
        <v>2020</v>
      </c>
    </row>
    <row r="806" spans="1:14">
      <c r="A806" s="24">
        <v>2020</v>
      </c>
      <c r="B806" s="24" t="s">
        <v>4</v>
      </c>
      <c r="C806" s="24" t="s">
        <v>23</v>
      </c>
      <c r="D806" s="24" t="s">
        <v>29</v>
      </c>
      <c r="E806" s="23">
        <v>1</v>
      </c>
      <c r="F806" s="24" t="s">
        <v>211</v>
      </c>
      <c r="G806" s="24" t="s">
        <v>225</v>
      </c>
      <c r="H806" s="23" t="s">
        <v>226</v>
      </c>
      <c r="I806" s="24" t="s">
        <v>225</v>
      </c>
      <c r="J806" s="23" t="s">
        <v>226</v>
      </c>
      <c r="K806" s="24" t="s">
        <v>225</v>
      </c>
      <c r="L806" s="23"/>
      <c r="M806" s="26" t="s">
        <v>514</v>
      </c>
      <c r="N806" s="24">
        <v>2020</v>
      </c>
    </row>
    <row r="807" spans="1:14">
      <c r="A807" s="24">
        <v>2020</v>
      </c>
      <c r="B807" s="24" t="s">
        <v>78</v>
      </c>
      <c r="C807" s="24" t="s">
        <v>92</v>
      </c>
      <c r="D807" s="24" t="s">
        <v>94</v>
      </c>
      <c r="E807" s="23">
        <v>5</v>
      </c>
      <c r="F807" s="24" t="s">
        <v>207</v>
      </c>
      <c r="G807" s="24" t="s">
        <v>225</v>
      </c>
      <c r="H807" s="23" t="s">
        <v>226</v>
      </c>
      <c r="I807" s="24" t="s">
        <v>225</v>
      </c>
      <c r="J807" s="23" t="s">
        <v>226</v>
      </c>
      <c r="K807" s="24" t="s">
        <v>225</v>
      </c>
      <c r="L807" s="23"/>
      <c r="M807" s="26" t="s">
        <v>514</v>
      </c>
      <c r="N807" s="24">
        <v>2020</v>
      </c>
    </row>
    <row r="808" spans="1:14">
      <c r="A808" s="24">
        <v>2020</v>
      </c>
      <c r="B808" s="24" t="s">
        <v>136</v>
      </c>
      <c r="C808" s="24" t="s">
        <v>176</v>
      </c>
      <c r="D808" s="24" t="s">
        <v>183</v>
      </c>
      <c r="E808" s="23">
        <v>1</v>
      </c>
      <c r="F808" s="24" t="s">
        <v>211</v>
      </c>
      <c r="G808" s="24" t="s">
        <v>225</v>
      </c>
      <c r="H808" s="23" t="s">
        <v>226</v>
      </c>
      <c r="I808" s="24" t="s">
        <v>226</v>
      </c>
      <c r="J808" s="23" t="s">
        <v>226</v>
      </c>
      <c r="K808" s="24" t="s">
        <v>225</v>
      </c>
      <c r="L808" s="23"/>
      <c r="M808" s="26" t="s">
        <v>514</v>
      </c>
      <c r="N808" s="24">
        <v>2020</v>
      </c>
    </row>
    <row r="809" spans="1:14">
      <c r="A809" s="24">
        <v>2020</v>
      </c>
      <c r="B809" s="24" t="s">
        <v>4</v>
      </c>
      <c r="C809" s="24" t="s">
        <v>23</v>
      </c>
      <c r="D809" s="24" t="s">
        <v>29</v>
      </c>
      <c r="E809" s="23">
        <v>1</v>
      </c>
      <c r="F809" s="24" t="s">
        <v>211</v>
      </c>
      <c r="G809" s="24" t="s">
        <v>225</v>
      </c>
      <c r="H809" s="23" t="s">
        <v>226</v>
      </c>
      <c r="I809" s="24" t="s">
        <v>225</v>
      </c>
      <c r="J809" s="23" t="s">
        <v>226</v>
      </c>
      <c r="K809" s="24" t="s">
        <v>225</v>
      </c>
      <c r="L809" s="23"/>
      <c r="M809" s="26" t="s">
        <v>515</v>
      </c>
      <c r="N809" s="24">
        <v>2020</v>
      </c>
    </row>
    <row r="810" spans="1:14">
      <c r="A810" s="24">
        <v>2020</v>
      </c>
      <c r="B810" s="24" t="s">
        <v>4</v>
      </c>
      <c r="C810" s="24" t="s">
        <v>31</v>
      </c>
      <c r="D810" s="24" t="s">
        <v>32</v>
      </c>
      <c r="E810" s="23"/>
      <c r="F810" s="24" t="s">
        <v>207</v>
      </c>
      <c r="G810" s="24" t="s">
        <v>225</v>
      </c>
      <c r="H810" s="23" t="s">
        <v>225</v>
      </c>
      <c r="I810" s="24" t="s">
        <v>225</v>
      </c>
      <c r="J810" s="23" t="s">
        <v>226</v>
      </c>
      <c r="K810" s="24" t="s">
        <v>225</v>
      </c>
      <c r="L810" s="23"/>
      <c r="M810" s="26" t="s">
        <v>515</v>
      </c>
      <c r="N810" s="24">
        <v>2020</v>
      </c>
    </row>
    <row r="811" spans="1:14">
      <c r="A811" s="24">
        <v>2020</v>
      </c>
      <c r="B811" s="24" t="s">
        <v>78</v>
      </c>
      <c r="C811" s="24" t="s">
        <v>681</v>
      </c>
      <c r="D811" s="24" t="s">
        <v>516</v>
      </c>
      <c r="E811" s="23">
        <v>1</v>
      </c>
      <c r="F811" s="24" t="s">
        <v>207</v>
      </c>
      <c r="G811" s="24" t="s">
        <v>225</v>
      </c>
      <c r="H811" s="23" t="s">
        <v>226</v>
      </c>
      <c r="I811" s="24" t="s">
        <v>226</v>
      </c>
      <c r="J811" s="23" t="s">
        <v>226</v>
      </c>
      <c r="K811" s="24" t="s">
        <v>225</v>
      </c>
      <c r="L811" s="23"/>
      <c r="M811" s="26" t="s">
        <v>517</v>
      </c>
      <c r="N811" s="24">
        <v>2020</v>
      </c>
    </row>
    <row r="812" spans="1:14">
      <c r="A812" s="24">
        <v>2020</v>
      </c>
      <c r="B812" s="24" t="s">
        <v>4</v>
      </c>
      <c r="C812" s="24" t="s">
        <v>5</v>
      </c>
      <c r="D812" s="24" t="s">
        <v>8</v>
      </c>
      <c r="E812" s="23">
        <v>5</v>
      </c>
      <c r="F812" s="24" t="s">
        <v>207</v>
      </c>
      <c r="G812" s="24" t="s">
        <v>225</v>
      </c>
      <c r="H812" s="23" t="s">
        <v>226</v>
      </c>
      <c r="I812" s="24" t="s">
        <v>226</v>
      </c>
      <c r="J812" s="23" t="s">
        <v>226</v>
      </c>
      <c r="K812" s="24" t="s">
        <v>225</v>
      </c>
      <c r="L812" s="23"/>
      <c r="M812" s="26" t="s">
        <v>517</v>
      </c>
      <c r="N812" s="24">
        <v>2020</v>
      </c>
    </row>
    <row r="813" spans="1:14">
      <c r="A813" s="24">
        <v>2020</v>
      </c>
      <c r="B813" s="24" t="s">
        <v>4</v>
      </c>
      <c r="C813" s="24" t="s">
        <v>23</v>
      </c>
      <c r="D813" s="24" t="s">
        <v>27</v>
      </c>
      <c r="E813" s="23">
        <v>26</v>
      </c>
      <c r="F813" s="24" t="s">
        <v>207</v>
      </c>
      <c r="G813" s="24" t="s">
        <v>225</v>
      </c>
      <c r="H813" s="23" t="s">
        <v>226</v>
      </c>
      <c r="I813" s="24" t="s">
        <v>226</v>
      </c>
      <c r="J813" s="23" t="s">
        <v>226</v>
      </c>
      <c r="K813" s="24" t="s">
        <v>225</v>
      </c>
      <c r="L813" s="23"/>
      <c r="M813" s="26" t="s">
        <v>517</v>
      </c>
      <c r="N813" s="24">
        <v>2020</v>
      </c>
    </row>
    <row r="814" spans="1:14">
      <c r="A814" s="24">
        <v>2020</v>
      </c>
      <c r="B814" s="24" t="s">
        <v>4</v>
      </c>
      <c r="C814" s="24" t="s">
        <v>5</v>
      </c>
      <c r="D814" s="24" t="s">
        <v>6</v>
      </c>
      <c r="E814" s="23">
        <v>1</v>
      </c>
      <c r="F814" s="24" t="s">
        <v>211</v>
      </c>
      <c r="G814" s="24" t="s">
        <v>225</v>
      </c>
      <c r="H814" s="23" t="s">
        <v>226</v>
      </c>
      <c r="I814" s="24" t="s">
        <v>225</v>
      </c>
      <c r="J814" s="23" t="s">
        <v>226</v>
      </c>
      <c r="K814" s="24" t="s">
        <v>225</v>
      </c>
      <c r="L814" s="23"/>
      <c r="M814" s="26" t="s">
        <v>517</v>
      </c>
      <c r="N814" s="24">
        <v>2020</v>
      </c>
    </row>
    <row r="815" spans="1:14">
      <c r="A815" s="24">
        <v>2020</v>
      </c>
      <c r="B815" s="24" t="s">
        <v>4</v>
      </c>
      <c r="C815" s="24" t="s">
        <v>5</v>
      </c>
      <c r="D815" s="24" t="s">
        <v>7</v>
      </c>
      <c r="E815" s="23">
        <v>13</v>
      </c>
      <c r="F815" s="24" t="s">
        <v>211</v>
      </c>
      <c r="G815" s="24" t="s">
        <v>225</v>
      </c>
      <c r="H815" s="23" t="s">
        <v>226</v>
      </c>
      <c r="I815" s="24" t="s">
        <v>226</v>
      </c>
      <c r="J815" s="23" t="s">
        <v>226</v>
      </c>
      <c r="K815" s="24" t="s">
        <v>225</v>
      </c>
      <c r="L815" s="23"/>
      <c r="M815" s="26" t="s">
        <v>518</v>
      </c>
      <c r="N815" s="24">
        <v>2020</v>
      </c>
    </row>
    <row r="816" spans="1:14">
      <c r="A816" s="24">
        <v>2020</v>
      </c>
      <c r="B816" s="24" t="s">
        <v>4</v>
      </c>
      <c r="C816" s="24" t="s">
        <v>23</v>
      </c>
      <c r="D816" s="24" t="s">
        <v>29</v>
      </c>
      <c r="E816" s="23">
        <v>20</v>
      </c>
      <c r="F816" s="24" t="s">
        <v>211</v>
      </c>
      <c r="G816" s="24" t="s">
        <v>225</v>
      </c>
      <c r="H816" s="23" t="s">
        <v>226</v>
      </c>
      <c r="I816" s="24" t="s">
        <v>226</v>
      </c>
      <c r="J816" s="23" t="s">
        <v>226</v>
      </c>
      <c r="K816" s="24" t="s">
        <v>225</v>
      </c>
      <c r="L816" s="23"/>
      <c r="M816" s="26" t="s">
        <v>518</v>
      </c>
      <c r="N816" s="24">
        <v>2020</v>
      </c>
    </row>
    <row r="817" spans="1:14">
      <c r="A817" s="24">
        <v>2020</v>
      </c>
      <c r="B817" s="24" t="s">
        <v>4</v>
      </c>
      <c r="C817" s="24" t="s">
        <v>5</v>
      </c>
      <c r="D817" s="24" t="s">
        <v>7</v>
      </c>
      <c r="E817" s="23">
        <v>1</v>
      </c>
      <c r="F817" s="24" t="s">
        <v>207</v>
      </c>
      <c r="G817" s="24" t="s">
        <v>225</v>
      </c>
      <c r="H817" s="23" t="s">
        <v>226</v>
      </c>
      <c r="I817" s="24" t="s">
        <v>226</v>
      </c>
      <c r="J817" s="23" t="s">
        <v>226</v>
      </c>
      <c r="K817" s="24" t="s">
        <v>225</v>
      </c>
      <c r="L817" s="23"/>
      <c r="M817" s="26" t="s">
        <v>518</v>
      </c>
      <c r="N817" s="24">
        <v>2020</v>
      </c>
    </row>
    <row r="818" spans="1:14">
      <c r="A818" s="24">
        <v>2020</v>
      </c>
      <c r="B818" s="24" t="s">
        <v>4</v>
      </c>
      <c r="C818" s="24" t="s">
        <v>203</v>
      </c>
      <c r="D818" s="24" t="s">
        <v>40</v>
      </c>
      <c r="E818" s="23"/>
      <c r="F818" s="24" t="s">
        <v>211</v>
      </c>
      <c r="G818" s="24" t="s">
        <v>225</v>
      </c>
      <c r="H818" s="23" t="s">
        <v>225</v>
      </c>
      <c r="I818" s="24" t="s">
        <v>226</v>
      </c>
      <c r="J818" s="23" t="s">
        <v>226</v>
      </c>
      <c r="K818" s="24" t="s">
        <v>225</v>
      </c>
      <c r="L818" s="23"/>
      <c r="M818" s="26" t="s">
        <v>518</v>
      </c>
      <c r="N818" s="24">
        <v>2020</v>
      </c>
    </row>
    <row r="819" spans="1:14">
      <c r="A819" s="24">
        <v>2020</v>
      </c>
      <c r="B819" s="24" t="s">
        <v>4</v>
      </c>
      <c r="C819" s="24" t="s">
        <v>14</v>
      </c>
      <c r="D819" s="24" t="s">
        <v>15</v>
      </c>
      <c r="E819" s="23">
        <v>8</v>
      </c>
      <c r="F819" s="24" t="s">
        <v>207</v>
      </c>
      <c r="G819" s="24" t="s">
        <v>225</v>
      </c>
      <c r="H819" s="23" t="s">
        <v>226</v>
      </c>
      <c r="I819" s="24" t="s">
        <v>225</v>
      </c>
      <c r="J819" s="23" t="s">
        <v>226</v>
      </c>
      <c r="K819" s="24" t="s">
        <v>225</v>
      </c>
      <c r="L819" s="23"/>
      <c r="M819" s="26" t="s">
        <v>518</v>
      </c>
      <c r="N819" s="24">
        <v>2020</v>
      </c>
    </row>
    <row r="820" spans="1:14">
      <c r="A820" s="24">
        <v>2020</v>
      </c>
      <c r="B820" s="24" t="s">
        <v>136</v>
      </c>
      <c r="C820" s="24" t="s">
        <v>160</v>
      </c>
      <c r="D820" s="24" t="s">
        <v>166</v>
      </c>
      <c r="E820" s="23">
        <v>1</v>
      </c>
      <c r="F820" s="24" t="s">
        <v>211</v>
      </c>
      <c r="G820" s="24" t="s">
        <v>225</v>
      </c>
      <c r="H820" s="23" t="s">
        <v>226</v>
      </c>
      <c r="I820" s="24" t="s">
        <v>225</v>
      </c>
      <c r="J820" s="23" t="s">
        <v>226</v>
      </c>
      <c r="K820" s="24" t="s">
        <v>225</v>
      </c>
      <c r="L820" s="23"/>
      <c r="M820" s="26" t="s">
        <v>519</v>
      </c>
      <c r="N820" s="24">
        <v>2020</v>
      </c>
    </row>
    <row r="821" spans="1:14">
      <c r="A821" s="24">
        <v>2020</v>
      </c>
      <c r="B821" s="24" t="s">
        <v>4</v>
      </c>
      <c r="C821" s="24" t="s">
        <v>23</v>
      </c>
      <c r="D821" s="24" t="s">
        <v>25</v>
      </c>
      <c r="E821" s="23">
        <v>28</v>
      </c>
      <c r="F821" s="24" t="s">
        <v>211</v>
      </c>
      <c r="G821" s="24" t="s">
        <v>225</v>
      </c>
      <c r="H821" s="23" t="s">
        <v>226</v>
      </c>
      <c r="I821" s="24" t="s">
        <v>225</v>
      </c>
      <c r="J821" s="23" t="s">
        <v>226</v>
      </c>
      <c r="K821" s="24" t="s">
        <v>225</v>
      </c>
      <c r="L821" s="23"/>
      <c r="M821" s="26" t="s">
        <v>519</v>
      </c>
      <c r="N821" s="24">
        <v>2020</v>
      </c>
    </row>
    <row r="822" spans="1:14">
      <c r="A822" s="24">
        <v>2020</v>
      </c>
      <c r="B822" s="24" t="s">
        <v>78</v>
      </c>
      <c r="C822" s="24" t="s">
        <v>681</v>
      </c>
      <c r="D822" s="24" t="s">
        <v>248</v>
      </c>
      <c r="E822" s="23">
        <v>5</v>
      </c>
      <c r="F822" s="24" t="s">
        <v>207</v>
      </c>
      <c r="G822" s="24" t="s">
        <v>225</v>
      </c>
      <c r="H822" s="23" t="s">
        <v>226</v>
      </c>
      <c r="I822" s="24" t="s">
        <v>225</v>
      </c>
      <c r="J822" s="23" t="s">
        <v>226</v>
      </c>
      <c r="K822" s="24" t="s">
        <v>225</v>
      </c>
      <c r="L822" s="23"/>
      <c r="M822" s="26" t="s">
        <v>519</v>
      </c>
      <c r="N822" s="24">
        <v>2020</v>
      </c>
    </row>
    <row r="823" spans="1:14">
      <c r="A823" s="24">
        <v>2020</v>
      </c>
      <c r="B823" s="24" t="s">
        <v>136</v>
      </c>
      <c r="C823" s="24" t="s">
        <v>137</v>
      </c>
      <c r="D823" s="24" t="s">
        <v>139</v>
      </c>
      <c r="E823" s="23">
        <v>7</v>
      </c>
      <c r="F823" s="24" t="s">
        <v>207</v>
      </c>
      <c r="G823" s="24" t="s">
        <v>225</v>
      </c>
      <c r="H823" s="23" t="s">
        <v>226</v>
      </c>
      <c r="I823" s="24" t="s">
        <v>226</v>
      </c>
      <c r="J823" s="23" t="s">
        <v>226</v>
      </c>
      <c r="K823" s="24" t="s">
        <v>225</v>
      </c>
      <c r="L823" s="23"/>
      <c r="M823" s="26" t="s">
        <v>519</v>
      </c>
      <c r="N823" s="24">
        <v>2020</v>
      </c>
    </row>
    <row r="824" spans="1:14">
      <c r="A824" s="24">
        <v>2020</v>
      </c>
      <c r="B824" s="24" t="s">
        <v>78</v>
      </c>
      <c r="C824" s="24" t="s">
        <v>681</v>
      </c>
      <c r="D824" s="24" t="s">
        <v>133</v>
      </c>
      <c r="E824" s="23">
        <v>1</v>
      </c>
      <c r="F824" s="24" t="s">
        <v>207</v>
      </c>
      <c r="G824" s="24" t="s">
        <v>225</v>
      </c>
      <c r="H824" s="23" t="s">
        <v>226</v>
      </c>
      <c r="I824" s="24" t="s">
        <v>225</v>
      </c>
      <c r="J824" s="23" t="s">
        <v>226</v>
      </c>
      <c r="K824" s="24" t="s">
        <v>225</v>
      </c>
      <c r="L824" s="23"/>
      <c r="M824" s="26" t="s">
        <v>519</v>
      </c>
      <c r="N824" s="24">
        <v>2020</v>
      </c>
    </row>
    <row r="825" spans="1:14">
      <c r="A825" s="24">
        <v>2020</v>
      </c>
      <c r="B825" s="24" t="s">
        <v>136</v>
      </c>
      <c r="C825" s="24" t="s">
        <v>684</v>
      </c>
      <c r="D825" s="24" t="s">
        <v>388</v>
      </c>
      <c r="E825" s="23"/>
      <c r="F825" s="24" t="s">
        <v>207</v>
      </c>
      <c r="G825" s="24" t="s">
        <v>225</v>
      </c>
      <c r="H825" s="23" t="s">
        <v>225</v>
      </c>
      <c r="I825" s="24" t="s">
        <v>225</v>
      </c>
      <c r="J825" s="23" t="s">
        <v>226</v>
      </c>
      <c r="K825" s="24" t="s">
        <v>225</v>
      </c>
      <c r="L825" s="23"/>
      <c r="M825" s="26" t="s">
        <v>520</v>
      </c>
      <c r="N825" s="24">
        <v>2020</v>
      </c>
    </row>
    <row r="826" spans="1:14">
      <c r="A826" s="24">
        <v>2020</v>
      </c>
      <c r="B826" s="24" t="s">
        <v>136</v>
      </c>
      <c r="C826" s="24" t="s">
        <v>137</v>
      </c>
      <c r="D826" s="24" t="s">
        <v>140</v>
      </c>
      <c r="E826" s="23">
        <v>2</v>
      </c>
      <c r="F826" s="24" t="s">
        <v>207</v>
      </c>
      <c r="G826" s="24" t="s">
        <v>225</v>
      </c>
      <c r="H826" s="23" t="s">
        <v>226</v>
      </c>
      <c r="I826" s="24" t="s">
        <v>225</v>
      </c>
      <c r="J826" s="23" t="s">
        <v>226</v>
      </c>
      <c r="K826" s="24" t="s">
        <v>225</v>
      </c>
      <c r="L826" s="23"/>
      <c r="M826" s="25">
        <v>44198</v>
      </c>
      <c r="N826" s="24">
        <v>2021</v>
      </c>
    </row>
    <row r="827" spans="1:14">
      <c r="A827" s="24">
        <v>2020</v>
      </c>
      <c r="B827" s="24" t="s">
        <v>78</v>
      </c>
      <c r="C827" s="24" t="s">
        <v>681</v>
      </c>
      <c r="D827" s="24" t="s">
        <v>198</v>
      </c>
      <c r="E827" s="23"/>
      <c r="F827" s="24" t="s">
        <v>207</v>
      </c>
      <c r="G827" s="24" t="s">
        <v>225</v>
      </c>
      <c r="H827" s="23" t="s">
        <v>225</v>
      </c>
      <c r="I827" s="24" t="s">
        <v>225</v>
      </c>
      <c r="J827" s="23" t="s">
        <v>226</v>
      </c>
      <c r="K827" s="24" t="s">
        <v>225</v>
      </c>
      <c r="L827" s="23"/>
      <c r="M827" s="25">
        <v>44203</v>
      </c>
      <c r="N827" s="24">
        <v>2021</v>
      </c>
    </row>
    <row r="828" spans="1:14">
      <c r="A828" s="24">
        <v>2020</v>
      </c>
      <c r="B828" s="24" t="s">
        <v>136</v>
      </c>
      <c r="C828" s="24" t="s">
        <v>682</v>
      </c>
      <c r="D828" s="24" t="s">
        <v>167</v>
      </c>
      <c r="E828" s="23">
        <v>1</v>
      </c>
      <c r="F828" s="24" t="s">
        <v>211</v>
      </c>
      <c r="G828" s="24" t="s">
        <v>225</v>
      </c>
      <c r="H828" s="23" t="s">
        <v>226</v>
      </c>
      <c r="I828" s="24" t="s">
        <v>226</v>
      </c>
      <c r="J828" s="23" t="s">
        <v>226</v>
      </c>
      <c r="K828" s="24" t="s">
        <v>225</v>
      </c>
      <c r="L828" s="23"/>
      <c r="M828" s="25">
        <v>44203</v>
      </c>
      <c r="N828" s="24">
        <v>2021</v>
      </c>
    </row>
    <row r="829" spans="1:14">
      <c r="A829" s="24">
        <v>2020</v>
      </c>
      <c r="B829" s="24" t="s">
        <v>136</v>
      </c>
      <c r="C829" s="24" t="s">
        <v>685</v>
      </c>
      <c r="D829" s="24" t="s">
        <v>485</v>
      </c>
      <c r="E829" s="23">
        <v>1</v>
      </c>
      <c r="F829" s="24" t="s">
        <v>211</v>
      </c>
      <c r="G829" s="24" t="s">
        <v>225</v>
      </c>
      <c r="H829" s="23" t="s">
        <v>226</v>
      </c>
      <c r="I829" s="24" t="s">
        <v>225</v>
      </c>
      <c r="J829" s="23" t="s">
        <v>226</v>
      </c>
      <c r="K829" s="24" t="s">
        <v>225</v>
      </c>
      <c r="L829" s="23"/>
      <c r="M829" s="25">
        <v>44203</v>
      </c>
      <c r="N829" s="24">
        <v>2021</v>
      </c>
    </row>
    <row r="830" spans="1:14">
      <c r="A830" s="24">
        <v>2020</v>
      </c>
      <c r="B830" s="24" t="s">
        <v>136</v>
      </c>
      <c r="C830" s="24" t="s">
        <v>137</v>
      </c>
      <c r="D830" s="24" t="s">
        <v>365</v>
      </c>
      <c r="E830" s="23">
        <v>1</v>
      </c>
      <c r="F830" s="24" t="s">
        <v>211</v>
      </c>
      <c r="G830" s="24" t="s">
        <v>225</v>
      </c>
      <c r="H830" s="23" t="s">
        <v>226</v>
      </c>
      <c r="I830" s="24" t="s">
        <v>225</v>
      </c>
      <c r="J830" s="23" t="s">
        <v>226</v>
      </c>
      <c r="K830" s="24" t="s">
        <v>225</v>
      </c>
      <c r="L830" s="23"/>
      <c r="M830" s="26" t="s">
        <v>521</v>
      </c>
      <c r="N830" s="24">
        <v>2021</v>
      </c>
    </row>
    <row r="831" spans="1:14">
      <c r="A831" s="24">
        <v>2020</v>
      </c>
      <c r="B831" s="24" t="s">
        <v>4</v>
      </c>
      <c r="C831" s="24" t="s">
        <v>23</v>
      </c>
      <c r="D831" s="24" t="s">
        <v>29</v>
      </c>
      <c r="E831" s="23">
        <v>2</v>
      </c>
      <c r="F831" s="24" t="s">
        <v>211</v>
      </c>
      <c r="G831" s="24" t="s">
        <v>225</v>
      </c>
      <c r="H831" s="23" t="s">
        <v>226</v>
      </c>
      <c r="I831" s="24" t="s">
        <v>225</v>
      </c>
      <c r="J831" s="23" t="s">
        <v>226</v>
      </c>
      <c r="K831" s="24" t="s">
        <v>225</v>
      </c>
      <c r="L831" s="23"/>
      <c r="M831" s="26" t="s">
        <v>522</v>
      </c>
      <c r="N831" s="24">
        <v>2021</v>
      </c>
    </row>
    <row r="832" spans="1:14">
      <c r="A832" s="24">
        <v>2020</v>
      </c>
      <c r="B832" s="24" t="s">
        <v>78</v>
      </c>
      <c r="C832" s="24" t="s">
        <v>79</v>
      </c>
      <c r="D832" s="24" t="s">
        <v>56</v>
      </c>
      <c r="E832" s="23">
        <v>9</v>
      </c>
      <c r="F832" s="24" t="s">
        <v>211</v>
      </c>
      <c r="G832" s="24" t="s">
        <v>225</v>
      </c>
      <c r="H832" s="23" t="s">
        <v>226</v>
      </c>
      <c r="I832" s="24" t="s">
        <v>225</v>
      </c>
      <c r="J832" s="23" t="s">
        <v>226</v>
      </c>
      <c r="K832" s="24" t="s">
        <v>225</v>
      </c>
      <c r="L832" s="23"/>
      <c r="M832" s="26" t="s">
        <v>522</v>
      </c>
      <c r="N832" s="24">
        <v>2021</v>
      </c>
    </row>
    <row r="833" spans="1:14">
      <c r="A833" s="24">
        <v>2020</v>
      </c>
      <c r="B833" s="24" t="s">
        <v>136</v>
      </c>
      <c r="C833" s="24" t="s">
        <v>160</v>
      </c>
      <c r="D833" s="24" t="s">
        <v>161</v>
      </c>
      <c r="E833" s="23"/>
      <c r="F833" s="24" t="s">
        <v>211</v>
      </c>
      <c r="G833" s="24" t="s">
        <v>225</v>
      </c>
      <c r="H833" s="23" t="s">
        <v>225</v>
      </c>
      <c r="I833" s="24" t="s">
        <v>226</v>
      </c>
      <c r="J833" s="23" t="s">
        <v>226</v>
      </c>
      <c r="K833" s="24" t="s">
        <v>225</v>
      </c>
      <c r="L833" s="23"/>
      <c r="M833" s="26" t="s">
        <v>523</v>
      </c>
      <c r="N833" s="24">
        <v>2021</v>
      </c>
    </row>
    <row r="834" spans="1:14">
      <c r="A834" s="24">
        <v>2020</v>
      </c>
      <c r="B834" s="24" t="s">
        <v>136</v>
      </c>
      <c r="C834" s="24" t="s">
        <v>189</v>
      </c>
      <c r="D834" s="24" t="s">
        <v>298</v>
      </c>
      <c r="E834" s="23">
        <v>1</v>
      </c>
      <c r="F834" s="24" t="s">
        <v>207</v>
      </c>
      <c r="G834" s="24" t="s">
        <v>225</v>
      </c>
      <c r="H834" s="23" t="s">
        <v>226</v>
      </c>
      <c r="I834" s="24" t="s">
        <v>226</v>
      </c>
      <c r="J834" s="23" t="s">
        <v>226</v>
      </c>
      <c r="K834" s="24" t="s">
        <v>225</v>
      </c>
      <c r="L834" s="23"/>
      <c r="M834" s="26" t="s">
        <v>524</v>
      </c>
      <c r="N834" s="24">
        <v>2021</v>
      </c>
    </row>
    <row r="835" spans="1:14">
      <c r="A835" s="24">
        <v>2020</v>
      </c>
      <c r="B835" s="24" t="s">
        <v>136</v>
      </c>
      <c r="C835" s="24" t="s">
        <v>152</v>
      </c>
      <c r="D835" s="24" t="s">
        <v>487</v>
      </c>
      <c r="E835" s="28">
        <v>2</v>
      </c>
      <c r="F835" s="24" t="s">
        <v>207</v>
      </c>
      <c r="G835" s="24" t="s">
        <v>225</v>
      </c>
      <c r="H835" s="23" t="s">
        <v>225</v>
      </c>
      <c r="I835" s="24" t="s">
        <v>225</v>
      </c>
      <c r="J835" s="23" t="s">
        <v>226</v>
      </c>
      <c r="K835" s="24" t="s">
        <v>225</v>
      </c>
      <c r="L835" s="23"/>
      <c r="M835" s="26" t="s">
        <v>524</v>
      </c>
      <c r="N835" s="24">
        <v>2021</v>
      </c>
    </row>
    <row r="836" spans="1:14">
      <c r="A836" s="24">
        <v>2020</v>
      </c>
      <c r="B836" s="24" t="s">
        <v>78</v>
      </c>
      <c r="C836" s="24" t="s">
        <v>122</v>
      </c>
      <c r="D836" s="24" t="s">
        <v>125</v>
      </c>
      <c r="E836" s="23">
        <v>1</v>
      </c>
      <c r="F836" s="24" t="s">
        <v>207</v>
      </c>
      <c r="G836" s="24" t="s">
        <v>225</v>
      </c>
      <c r="H836" s="23" t="s">
        <v>226</v>
      </c>
      <c r="I836" s="24" t="s">
        <v>225</v>
      </c>
      <c r="J836" s="23" t="s">
        <v>226</v>
      </c>
      <c r="K836" s="24" t="s">
        <v>225</v>
      </c>
      <c r="L836" s="23"/>
      <c r="M836" s="26" t="s">
        <v>524</v>
      </c>
      <c r="N836" s="24">
        <v>2021</v>
      </c>
    </row>
    <row r="837" spans="1:14">
      <c r="A837" s="24">
        <v>2020</v>
      </c>
      <c r="B837" s="24" t="s">
        <v>136</v>
      </c>
      <c r="C837" s="24" t="s">
        <v>171</v>
      </c>
      <c r="D837" s="24" t="s">
        <v>525</v>
      </c>
      <c r="E837" s="23"/>
      <c r="F837" s="24" t="s">
        <v>207</v>
      </c>
      <c r="G837" s="24" t="s">
        <v>225</v>
      </c>
      <c r="H837" s="23" t="s">
        <v>225</v>
      </c>
      <c r="I837" s="24" t="s">
        <v>225</v>
      </c>
      <c r="J837" s="23" t="s">
        <v>226</v>
      </c>
      <c r="K837" s="24" t="s">
        <v>225</v>
      </c>
      <c r="L837" s="23"/>
      <c r="M837" s="26" t="s">
        <v>526</v>
      </c>
      <c r="N837" s="24">
        <v>2021</v>
      </c>
    </row>
    <row r="838" spans="1:14">
      <c r="A838" s="24">
        <v>2020</v>
      </c>
      <c r="B838" s="24" t="s">
        <v>4</v>
      </c>
      <c r="C838" s="24" t="s">
        <v>5</v>
      </c>
      <c r="D838" s="24" t="s">
        <v>8</v>
      </c>
      <c r="E838" s="23">
        <v>4</v>
      </c>
      <c r="F838" s="24" t="s">
        <v>207</v>
      </c>
      <c r="G838" s="24" t="s">
        <v>225</v>
      </c>
      <c r="H838" s="23" t="s">
        <v>226</v>
      </c>
      <c r="I838" s="24" t="s">
        <v>226</v>
      </c>
      <c r="J838" s="23" t="s">
        <v>226</v>
      </c>
      <c r="K838" s="24" t="s">
        <v>225</v>
      </c>
      <c r="L838" s="23"/>
      <c r="M838" s="26" t="s">
        <v>527</v>
      </c>
      <c r="N838" s="24">
        <v>2021</v>
      </c>
    </row>
    <row r="839" spans="1:14">
      <c r="A839" s="24">
        <v>2020</v>
      </c>
      <c r="B839" s="24" t="s">
        <v>136</v>
      </c>
      <c r="C839" s="24" t="s">
        <v>189</v>
      </c>
      <c r="D839" s="24" t="s">
        <v>298</v>
      </c>
      <c r="E839" s="23">
        <v>4</v>
      </c>
      <c r="F839" s="24" t="s">
        <v>207</v>
      </c>
      <c r="G839" s="24" t="s">
        <v>225</v>
      </c>
      <c r="H839" s="23" t="s">
        <v>226</v>
      </c>
      <c r="I839" s="24" t="s">
        <v>226</v>
      </c>
      <c r="J839" s="23" t="s">
        <v>226</v>
      </c>
      <c r="K839" s="24" t="s">
        <v>225</v>
      </c>
      <c r="L839" s="23"/>
      <c r="M839" s="26" t="s">
        <v>528</v>
      </c>
      <c r="N839" s="24">
        <v>2021</v>
      </c>
    </row>
    <row r="840" spans="1:14">
      <c r="A840" s="24">
        <v>2020</v>
      </c>
      <c r="B840" s="24" t="s">
        <v>78</v>
      </c>
      <c r="C840" s="24" t="s">
        <v>681</v>
      </c>
      <c r="D840" s="24" t="s">
        <v>269</v>
      </c>
      <c r="E840" s="23">
        <v>2</v>
      </c>
      <c r="F840" s="24" t="s">
        <v>207</v>
      </c>
      <c r="G840" s="24" t="s">
        <v>225</v>
      </c>
      <c r="H840" s="23" t="s">
        <v>226</v>
      </c>
      <c r="I840" s="24" t="s">
        <v>226</v>
      </c>
      <c r="J840" s="23" t="s">
        <v>226</v>
      </c>
      <c r="K840" s="24" t="s">
        <v>225</v>
      </c>
      <c r="L840" s="23"/>
      <c r="M840" s="26" t="s">
        <v>528</v>
      </c>
      <c r="N840" s="24">
        <v>2021</v>
      </c>
    </row>
    <row r="841" spans="1:14">
      <c r="A841" s="24">
        <v>2020</v>
      </c>
      <c r="B841" s="24" t="s">
        <v>78</v>
      </c>
      <c r="C841" s="24" t="s">
        <v>681</v>
      </c>
      <c r="D841" s="24" t="s">
        <v>201</v>
      </c>
      <c r="E841" s="23">
        <v>3</v>
      </c>
      <c r="F841" s="24" t="s">
        <v>207</v>
      </c>
      <c r="G841" s="24" t="s">
        <v>225</v>
      </c>
      <c r="H841" s="23" t="s">
        <v>226</v>
      </c>
      <c r="I841" s="24" t="s">
        <v>226</v>
      </c>
      <c r="J841" s="23" t="s">
        <v>226</v>
      </c>
      <c r="K841" s="24" t="s">
        <v>225</v>
      </c>
      <c r="L841" s="23"/>
      <c r="M841" s="26" t="s">
        <v>529</v>
      </c>
      <c r="N841" s="24">
        <v>2021</v>
      </c>
    </row>
    <row r="842" spans="1:14">
      <c r="A842" s="24">
        <v>2020</v>
      </c>
      <c r="B842" s="24" t="s">
        <v>4</v>
      </c>
      <c r="C842" s="24" t="s">
        <v>18</v>
      </c>
      <c r="D842" s="24" t="s">
        <v>22</v>
      </c>
      <c r="E842" s="23">
        <v>1</v>
      </c>
      <c r="F842" s="24" t="s">
        <v>211</v>
      </c>
      <c r="G842" s="24" t="s">
        <v>225</v>
      </c>
      <c r="H842" s="23" t="s">
        <v>226</v>
      </c>
      <c r="I842" s="24" t="s">
        <v>225</v>
      </c>
      <c r="J842" s="23" t="s">
        <v>226</v>
      </c>
      <c r="K842" s="24" t="s">
        <v>225</v>
      </c>
      <c r="L842" s="23"/>
      <c r="M842" s="26" t="s">
        <v>530</v>
      </c>
      <c r="N842" s="24">
        <v>2021</v>
      </c>
    </row>
    <row r="843" spans="1:14">
      <c r="A843" s="24">
        <v>2020</v>
      </c>
      <c r="B843" s="24" t="s">
        <v>78</v>
      </c>
      <c r="C843" s="24" t="s">
        <v>681</v>
      </c>
      <c r="D843" s="24" t="s">
        <v>134</v>
      </c>
      <c r="E843" s="23">
        <v>15</v>
      </c>
      <c r="F843" s="24" t="s">
        <v>207</v>
      </c>
      <c r="G843" s="24" t="s">
        <v>225</v>
      </c>
      <c r="H843" s="23" t="s">
        <v>226</v>
      </c>
      <c r="I843" s="24" t="s">
        <v>226</v>
      </c>
      <c r="J843" s="23" t="s">
        <v>226</v>
      </c>
      <c r="K843" s="24" t="s">
        <v>225</v>
      </c>
      <c r="L843" s="23"/>
      <c r="M843" s="26" t="s">
        <v>531</v>
      </c>
      <c r="N843" s="24">
        <v>2021</v>
      </c>
    </row>
    <row r="844" spans="1:14">
      <c r="A844" s="24">
        <v>2020</v>
      </c>
      <c r="B844" s="24" t="s">
        <v>4</v>
      </c>
      <c r="C844" s="24" t="s">
        <v>23</v>
      </c>
      <c r="D844" s="24" t="s">
        <v>26</v>
      </c>
      <c r="E844" s="23">
        <v>8</v>
      </c>
      <c r="F844" s="24" t="s">
        <v>207</v>
      </c>
      <c r="G844" s="24" t="s">
        <v>225</v>
      </c>
      <c r="H844" s="23" t="s">
        <v>226</v>
      </c>
      <c r="I844" s="24" t="s">
        <v>225</v>
      </c>
      <c r="J844" s="23" t="s">
        <v>226</v>
      </c>
      <c r="K844" s="24" t="s">
        <v>225</v>
      </c>
      <c r="L844" s="23"/>
      <c r="M844" s="26" t="s">
        <v>531</v>
      </c>
      <c r="N844" s="24">
        <v>2021</v>
      </c>
    </row>
    <row r="845" spans="1:14">
      <c r="A845" s="24">
        <v>2020</v>
      </c>
      <c r="B845" s="24" t="s">
        <v>136</v>
      </c>
      <c r="C845" s="24" t="s">
        <v>176</v>
      </c>
      <c r="D845" s="24" t="s">
        <v>186</v>
      </c>
      <c r="E845" s="23">
        <v>5</v>
      </c>
      <c r="F845" s="24" t="s">
        <v>207</v>
      </c>
      <c r="G845" s="24" t="s">
        <v>225</v>
      </c>
      <c r="H845" s="23" t="s">
        <v>226</v>
      </c>
      <c r="I845" s="24" t="s">
        <v>226</v>
      </c>
      <c r="J845" s="23" t="s">
        <v>226</v>
      </c>
      <c r="K845" s="24" t="s">
        <v>225</v>
      </c>
      <c r="L845" s="23"/>
      <c r="M845" s="26" t="s">
        <v>531</v>
      </c>
      <c r="N845" s="24">
        <v>2021</v>
      </c>
    </row>
    <row r="846" spans="1:14">
      <c r="A846" s="24">
        <v>2020</v>
      </c>
      <c r="B846" s="24" t="s">
        <v>78</v>
      </c>
      <c r="C846" s="24" t="s">
        <v>122</v>
      </c>
      <c r="D846" s="24" t="s">
        <v>125</v>
      </c>
      <c r="E846" s="23">
        <v>13</v>
      </c>
      <c r="F846" s="24" t="s">
        <v>211</v>
      </c>
      <c r="G846" s="24" t="s">
        <v>225</v>
      </c>
      <c r="H846" s="23" t="s">
        <v>226</v>
      </c>
      <c r="I846" s="24" t="s">
        <v>225</v>
      </c>
      <c r="J846" s="23" t="s">
        <v>226</v>
      </c>
      <c r="K846" s="24" t="s">
        <v>225</v>
      </c>
      <c r="L846" s="23"/>
      <c r="M846" s="26" t="s">
        <v>531</v>
      </c>
      <c r="N846" s="24">
        <v>2021</v>
      </c>
    </row>
    <row r="847" spans="1:14">
      <c r="A847" s="24">
        <v>2020</v>
      </c>
      <c r="B847" s="24" t="s">
        <v>4</v>
      </c>
      <c r="C847" s="24" t="s">
        <v>5</v>
      </c>
      <c r="D847" s="24" t="s">
        <v>12</v>
      </c>
      <c r="E847" s="23">
        <v>20</v>
      </c>
      <c r="F847" s="24" t="s">
        <v>207</v>
      </c>
      <c r="G847" s="24" t="s">
        <v>225</v>
      </c>
      <c r="H847" s="23" t="s">
        <v>226</v>
      </c>
      <c r="I847" s="24" t="s">
        <v>226</v>
      </c>
      <c r="J847" s="23" t="s">
        <v>226</v>
      </c>
      <c r="K847" s="24" t="s">
        <v>225</v>
      </c>
      <c r="L847" s="23"/>
      <c r="M847" s="25">
        <v>44230</v>
      </c>
      <c r="N847" s="24">
        <v>2021</v>
      </c>
    </row>
    <row r="848" spans="1:14">
      <c r="A848" s="24">
        <v>2020</v>
      </c>
      <c r="B848" s="24" t="s">
        <v>4</v>
      </c>
      <c r="C848" s="24" t="s">
        <v>203</v>
      </c>
      <c r="D848" s="24" t="s">
        <v>42</v>
      </c>
      <c r="E848" s="23">
        <v>3</v>
      </c>
      <c r="F848" s="24" t="s">
        <v>211</v>
      </c>
      <c r="G848" s="24" t="s">
        <v>225</v>
      </c>
      <c r="H848" s="23" t="s">
        <v>226</v>
      </c>
      <c r="I848" s="24" t="s">
        <v>226</v>
      </c>
      <c r="J848" s="23" t="s">
        <v>226</v>
      </c>
      <c r="K848" s="24" t="s">
        <v>225</v>
      </c>
      <c r="L848" s="23"/>
      <c r="M848" s="25">
        <v>44233</v>
      </c>
      <c r="N848" s="24">
        <v>2021</v>
      </c>
    </row>
    <row r="849" spans="1:14">
      <c r="A849" s="24">
        <v>2020</v>
      </c>
      <c r="B849" s="24" t="s">
        <v>78</v>
      </c>
      <c r="C849" s="24" t="s">
        <v>683</v>
      </c>
      <c r="D849" s="24" t="s">
        <v>118</v>
      </c>
      <c r="E849" s="23">
        <v>1</v>
      </c>
      <c r="F849" s="24" t="s">
        <v>207</v>
      </c>
      <c r="G849" s="23" t="s">
        <v>226</v>
      </c>
      <c r="H849" s="23" t="s">
        <v>226</v>
      </c>
      <c r="I849" s="24" t="s">
        <v>225</v>
      </c>
      <c r="J849" s="23" t="s">
        <v>226</v>
      </c>
      <c r="K849" s="24" t="s">
        <v>225</v>
      </c>
      <c r="L849" s="23"/>
      <c r="M849" s="25">
        <v>44233</v>
      </c>
      <c r="N849" s="24">
        <v>2021</v>
      </c>
    </row>
    <row r="850" spans="1:14">
      <c r="A850" s="24">
        <v>2020</v>
      </c>
      <c r="B850" s="24" t="s">
        <v>4</v>
      </c>
      <c r="C850" s="24" t="s">
        <v>203</v>
      </c>
      <c r="D850" s="24" t="s">
        <v>204</v>
      </c>
      <c r="E850" s="23">
        <v>12</v>
      </c>
      <c r="F850" s="24" t="s">
        <v>211</v>
      </c>
      <c r="G850" s="24" t="s">
        <v>225</v>
      </c>
      <c r="H850" s="23" t="s">
        <v>226</v>
      </c>
      <c r="I850" s="24" t="s">
        <v>226</v>
      </c>
      <c r="J850" s="23" t="s">
        <v>226</v>
      </c>
      <c r="K850" s="24" t="s">
        <v>225</v>
      </c>
      <c r="L850" s="23"/>
      <c r="M850" s="25">
        <v>44233</v>
      </c>
      <c r="N850" s="24">
        <v>2021</v>
      </c>
    </row>
    <row r="851" spans="1:14">
      <c r="A851" s="24">
        <v>2020</v>
      </c>
      <c r="B851" s="24" t="s">
        <v>4</v>
      </c>
      <c r="C851" s="24" t="s">
        <v>18</v>
      </c>
      <c r="D851" s="24" t="s">
        <v>21</v>
      </c>
      <c r="E851" s="23">
        <v>4</v>
      </c>
      <c r="F851" s="24" t="s">
        <v>207</v>
      </c>
      <c r="G851" s="24" t="s">
        <v>225</v>
      </c>
      <c r="H851" s="23" t="s">
        <v>226</v>
      </c>
      <c r="I851" s="24" t="s">
        <v>225</v>
      </c>
      <c r="J851" s="23" t="s">
        <v>226</v>
      </c>
      <c r="K851" s="24" t="s">
        <v>225</v>
      </c>
      <c r="L851" s="23"/>
      <c r="M851" s="25">
        <v>44234</v>
      </c>
      <c r="N851" s="24">
        <v>2021</v>
      </c>
    </row>
    <row r="852" spans="1:14">
      <c r="A852" s="24">
        <v>2020</v>
      </c>
      <c r="B852" s="24" t="s">
        <v>4</v>
      </c>
      <c r="C852" s="24" t="s">
        <v>5</v>
      </c>
      <c r="D852" s="24" t="s">
        <v>7</v>
      </c>
      <c r="E852" s="23">
        <v>8</v>
      </c>
      <c r="F852" s="24" t="s">
        <v>211</v>
      </c>
      <c r="G852" s="24" t="s">
        <v>225</v>
      </c>
      <c r="H852" s="23" t="s">
        <v>226</v>
      </c>
      <c r="I852" s="24" t="s">
        <v>225</v>
      </c>
      <c r="J852" s="23" t="s">
        <v>226</v>
      </c>
      <c r="K852" s="24" t="s">
        <v>225</v>
      </c>
      <c r="L852" s="23"/>
      <c r="M852" s="25">
        <v>44234</v>
      </c>
      <c r="N852" s="24">
        <v>2021</v>
      </c>
    </row>
    <row r="853" spans="1:14">
      <c r="A853" s="24">
        <v>2020</v>
      </c>
      <c r="B853" s="24" t="s">
        <v>4</v>
      </c>
      <c r="C853" s="24" t="s">
        <v>203</v>
      </c>
      <c r="D853" s="24" t="s">
        <v>39</v>
      </c>
      <c r="E853" s="23">
        <v>3</v>
      </c>
      <c r="F853" s="24" t="s">
        <v>211</v>
      </c>
      <c r="G853" s="24" t="s">
        <v>225</v>
      </c>
      <c r="H853" s="23" t="s">
        <v>226</v>
      </c>
      <c r="I853" s="24" t="s">
        <v>226</v>
      </c>
      <c r="J853" s="23" t="s">
        <v>226</v>
      </c>
      <c r="K853" s="24" t="s">
        <v>225</v>
      </c>
      <c r="L853" s="23"/>
      <c r="M853" s="25">
        <v>44234</v>
      </c>
      <c r="N853" s="24">
        <v>2021</v>
      </c>
    </row>
    <row r="854" spans="1:14">
      <c r="A854" s="24">
        <v>2020</v>
      </c>
      <c r="B854" s="24" t="s">
        <v>4</v>
      </c>
      <c r="C854" s="24" t="s">
        <v>5</v>
      </c>
      <c r="D854" s="24" t="s">
        <v>7</v>
      </c>
      <c r="E854" s="23">
        <v>11</v>
      </c>
      <c r="F854" s="24" t="s">
        <v>207</v>
      </c>
      <c r="G854" s="24" t="s">
        <v>225</v>
      </c>
      <c r="H854" s="23" t="s">
        <v>226</v>
      </c>
      <c r="I854" s="24" t="s">
        <v>226</v>
      </c>
      <c r="J854" s="23" t="s">
        <v>226</v>
      </c>
      <c r="K854" s="24" t="s">
        <v>225</v>
      </c>
      <c r="L854" s="23"/>
      <c r="M854" s="25">
        <v>44234</v>
      </c>
      <c r="N854" s="24">
        <v>2021</v>
      </c>
    </row>
    <row r="855" spans="1:14">
      <c r="A855" s="24">
        <v>2020</v>
      </c>
      <c r="B855" s="24" t="s">
        <v>78</v>
      </c>
      <c r="C855" s="24" t="s">
        <v>103</v>
      </c>
      <c r="D855" s="24" t="s">
        <v>111</v>
      </c>
      <c r="E855" s="23">
        <v>1</v>
      </c>
      <c r="F855" s="24" t="s">
        <v>211</v>
      </c>
      <c r="G855" s="24" t="s">
        <v>225</v>
      </c>
      <c r="H855" s="23" t="s">
        <v>226</v>
      </c>
      <c r="I855" s="24" t="s">
        <v>225</v>
      </c>
      <c r="J855" s="23" t="s">
        <v>226</v>
      </c>
      <c r="K855" s="24" t="s">
        <v>225</v>
      </c>
      <c r="L855" s="23"/>
      <c r="M855" s="25">
        <v>44234</v>
      </c>
      <c r="N855" s="24">
        <v>2021</v>
      </c>
    </row>
    <row r="856" spans="1:14">
      <c r="A856" s="24">
        <v>2020</v>
      </c>
      <c r="B856" s="24" t="s">
        <v>4</v>
      </c>
      <c r="C856" s="24" t="s">
        <v>5</v>
      </c>
      <c r="D856" s="24" t="s">
        <v>6</v>
      </c>
      <c r="E856" s="23">
        <v>4</v>
      </c>
      <c r="F856" s="24" t="s">
        <v>207</v>
      </c>
      <c r="G856" s="24" t="s">
        <v>225</v>
      </c>
      <c r="H856" s="23" t="s">
        <v>226</v>
      </c>
      <c r="I856" s="24" t="s">
        <v>226</v>
      </c>
      <c r="J856" s="23" t="s">
        <v>226</v>
      </c>
      <c r="K856" s="24" t="s">
        <v>225</v>
      </c>
      <c r="L856" s="23"/>
      <c r="M856" s="25">
        <v>44234</v>
      </c>
      <c r="N856" s="24">
        <v>2021</v>
      </c>
    </row>
    <row r="857" spans="1:14">
      <c r="A857" s="24">
        <v>2020</v>
      </c>
      <c r="B857" s="24" t="s">
        <v>4</v>
      </c>
      <c r="C857" s="24" t="s">
        <v>23</v>
      </c>
      <c r="D857" s="24" t="s">
        <v>27</v>
      </c>
      <c r="E857" s="23">
        <v>3</v>
      </c>
      <c r="F857" s="24" t="s">
        <v>207</v>
      </c>
      <c r="G857" s="24" t="s">
        <v>225</v>
      </c>
      <c r="H857" s="23" t="s">
        <v>226</v>
      </c>
      <c r="I857" s="24" t="s">
        <v>225</v>
      </c>
      <c r="J857" s="23" t="s">
        <v>226</v>
      </c>
      <c r="K857" s="24" t="s">
        <v>225</v>
      </c>
      <c r="L857" s="23"/>
      <c r="M857" s="25">
        <v>44234</v>
      </c>
      <c r="N857" s="24">
        <v>2021</v>
      </c>
    </row>
    <row r="858" spans="1:14">
      <c r="A858" s="24">
        <v>2020</v>
      </c>
      <c r="B858" s="24" t="s">
        <v>78</v>
      </c>
      <c r="C858" s="24" t="s">
        <v>92</v>
      </c>
      <c r="D858" s="24" t="s">
        <v>422</v>
      </c>
      <c r="E858" s="23">
        <v>1</v>
      </c>
      <c r="F858" s="24" t="s">
        <v>207</v>
      </c>
      <c r="G858" s="24" t="s">
        <v>225</v>
      </c>
      <c r="H858" s="23" t="s">
        <v>226</v>
      </c>
      <c r="I858" s="24" t="s">
        <v>226</v>
      </c>
      <c r="J858" s="23" t="s">
        <v>226</v>
      </c>
      <c r="K858" s="24" t="s">
        <v>225</v>
      </c>
      <c r="L858" s="23"/>
      <c r="M858" s="25">
        <v>44234</v>
      </c>
      <c r="N858" s="24">
        <v>2021</v>
      </c>
    </row>
    <row r="859" spans="1:14">
      <c r="A859" s="24">
        <v>2020</v>
      </c>
      <c r="B859" s="24" t="s">
        <v>78</v>
      </c>
      <c r="C859" s="24" t="s">
        <v>681</v>
      </c>
      <c r="D859" s="24" t="s">
        <v>269</v>
      </c>
      <c r="E859" s="23">
        <v>34</v>
      </c>
      <c r="F859" s="24" t="s">
        <v>207</v>
      </c>
      <c r="G859" s="24" t="s">
        <v>225</v>
      </c>
      <c r="H859" s="23" t="s">
        <v>226</v>
      </c>
      <c r="I859" s="24" t="s">
        <v>226</v>
      </c>
      <c r="J859" s="23" t="s">
        <v>226</v>
      </c>
      <c r="K859" s="24" t="s">
        <v>225</v>
      </c>
      <c r="L859" s="23"/>
      <c r="M859" s="25">
        <v>44236</v>
      </c>
      <c r="N859" s="24">
        <v>2021</v>
      </c>
    </row>
    <row r="860" spans="1:14">
      <c r="A860" s="24">
        <v>2020</v>
      </c>
      <c r="B860" s="24" t="s">
        <v>4</v>
      </c>
      <c r="C860" s="24" t="s">
        <v>203</v>
      </c>
      <c r="D860" s="24" t="s">
        <v>42</v>
      </c>
      <c r="E860" s="23">
        <v>2</v>
      </c>
      <c r="F860" s="24" t="s">
        <v>211</v>
      </c>
      <c r="G860" s="24" t="s">
        <v>225</v>
      </c>
      <c r="H860" s="23" t="s">
        <v>226</v>
      </c>
      <c r="I860" s="24" t="s">
        <v>226</v>
      </c>
      <c r="J860" s="23" t="s">
        <v>226</v>
      </c>
      <c r="K860" s="24" t="s">
        <v>225</v>
      </c>
      <c r="L860" s="23"/>
      <c r="M860" s="26" t="s">
        <v>532</v>
      </c>
      <c r="N860" s="24">
        <v>2021</v>
      </c>
    </row>
    <row r="861" spans="1:14">
      <c r="A861" s="24">
        <v>2020</v>
      </c>
      <c r="B861" s="24" t="s">
        <v>4</v>
      </c>
      <c r="C861" s="24" t="s">
        <v>5</v>
      </c>
      <c r="D861" s="24" t="s">
        <v>10</v>
      </c>
      <c r="E861" s="23">
        <v>7</v>
      </c>
      <c r="F861" s="24" t="s">
        <v>211</v>
      </c>
      <c r="G861" s="24" t="s">
        <v>225</v>
      </c>
      <c r="H861" s="23" t="s">
        <v>226</v>
      </c>
      <c r="I861" s="24" t="s">
        <v>226</v>
      </c>
      <c r="J861" s="23" t="s">
        <v>226</v>
      </c>
      <c r="K861" s="24" t="s">
        <v>225</v>
      </c>
      <c r="L861" s="23"/>
      <c r="M861" s="26" t="s">
        <v>533</v>
      </c>
      <c r="N861" s="24">
        <v>2021</v>
      </c>
    </row>
    <row r="862" spans="1:14">
      <c r="A862" s="24">
        <v>2020</v>
      </c>
      <c r="B862" s="24" t="s">
        <v>136</v>
      </c>
      <c r="C862" s="24" t="s">
        <v>137</v>
      </c>
      <c r="D862" s="24" t="s">
        <v>141</v>
      </c>
      <c r="E862" s="23"/>
      <c r="F862" s="24" t="s">
        <v>211</v>
      </c>
      <c r="G862" s="24" t="s">
        <v>225</v>
      </c>
      <c r="H862" s="23" t="s">
        <v>225</v>
      </c>
      <c r="I862" s="24" t="s">
        <v>225</v>
      </c>
      <c r="J862" s="23" t="s">
        <v>226</v>
      </c>
      <c r="K862" s="24" t="s">
        <v>225</v>
      </c>
      <c r="L862" s="23"/>
      <c r="M862" s="26" t="s">
        <v>534</v>
      </c>
      <c r="N862" s="24">
        <v>2021</v>
      </c>
    </row>
    <row r="863" spans="1:14">
      <c r="A863" s="24">
        <v>2020</v>
      </c>
      <c r="B863" s="24" t="s">
        <v>136</v>
      </c>
      <c r="C863" s="24" t="s">
        <v>137</v>
      </c>
      <c r="D863" s="24" t="s">
        <v>145</v>
      </c>
      <c r="E863" s="23">
        <v>1</v>
      </c>
      <c r="F863" s="24" t="s">
        <v>211</v>
      </c>
      <c r="G863" s="24" t="s">
        <v>225</v>
      </c>
      <c r="H863" s="23" t="s">
        <v>226</v>
      </c>
      <c r="I863" s="24" t="s">
        <v>226</v>
      </c>
      <c r="J863" s="23" t="s">
        <v>226</v>
      </c>
      <c r="K863" s="24" t="s">
        <v>225</v>
      </c>
      <c r="L863" s="23"/>
      <c r="M863" s="26" t="s">
        <v>534</v>
      </c>
      <c r="N863" s="24">
        <v>2021</v>
      </c>
    </row>
    <row r="864" spans="1:14">
      <c r="A864" s="24">
        <v>2020</v>
      </c>
      <c r="B864" s="24" t="s">
        <v>136</v>
      </c>
      <c r="C864" s="24" t="s">
        <v>137</v>
      </c>
      <c r="D864" s="24" t="s">
        <v>365</v>
      </c>
      <c r="E864" s="23">
        <v>1</v>
      </c>
      <c r="F864" s="24" t="s">
        <v>207</v>
      </c>
      <c r="G864" s="24" t="s">
        <v>225</v>
      </c>
      <c r="H864" s="23" t="s">
        <v>226</v>
      </c>
      <c r="I864" s="24" t="s">
        <v>225</v>
      </c>
      <c r="J864" s="23" t="s">
        <v>226</v>
      </c>
      <c r="K864" s="24" t="s">
        <v>225</v>
      </c>
      <c r="L864" s="23"/>
      <c r="M864" s="26" t="s">
        <v>534</v>
      </c>
      <c r="N864" s="24">
        <v>2021</v>
      </c>
    </row>
    <row r="865" spans="1:14">
      <c r="A865" s="24">
        <v>2020</v>
      </c>
      <c r="B865" s="24" t="s">
        <v>4</v>
      </c>
      <c r="C865" s="24" t="s">
        <v>5</v>
      </c>
      <c r="D865" s="24" t="s">
        <v>7</v>
      </c>
      <c r="E865" s="23">
        <v>6</v>
      </c>
      <c r="F865" s="24" t="s">
        <v>207</v>
      </c>
      <c r="G865" s="24" t="s">
        <v>225</v>
      </c>
      <c r="H865" s="23" t="s">
        <v>226</v>
      </c>
      <c r="I865" s="24" t="s">
        <v>225</v>
      </c>
      <c r="J865" s="23" t="s">
        <v>226</v>
      </c>
      <c r="K865" s="24" t="s">
        <v>225</v>
      </c>
      <c r="L865" s="23"/>
      <c r="M865" s="26" t="s">
        <v>535</v>
      </c>
      <c r="N865" s="24">
        <v>2021</v>
      </c>
    </row>
    <row r="866" spans="1:14">
      <c r="A866" s="24">
        <v>2020</v>
      </c>
      <c r="B866" s="24" t="s">
        <v>136</v>
      </c>
      <c r="C866" s="24" t="s">
        <v>176</v>
      </c>
      <c r="D866" s="24" t="s">
        <v>177</v>
      </c>
      <c r="E866" s="23">
        <v>1</v>
      </c>
      <c r="F866" s="24" t="s">
        <v>211</v>
      </c>
      <c r="G866" s="24" t="s">
        <v>225</v>
      </c>
      <c r="H866" s="23" t="s">
        <v>226</v>
      </c>
      <c r="I866" s="24" t="s">
        <v>225</v>
      </c>
      <c r="J866" s="23" t="s">
        <v>226</v>
      </c>
      <c r="K866" s="24" t="s">
        <v>225</v>
      </c>
      <c r="L866" s="23"/>
      <c r="M866" s="26" t="s">
        <v>536</v>
      </c>
      <c r="N866" s="24">
        <v>2021</v>
      </c>
    </row>
    <row r="867" spans="1:14">
      <c r="A867" s="24">
        <v>2020</v>
      </c>
      <c r="B867" s="24" t="s">
        <v>136</v>
      </c>
      <c r="C867" s="24" t="s">
        <v>137</v>
      </c>
      <c r="D867" s="24" t="s">
        <v>141</v>
      </c>
      <c r="E867" s="23">
        <v>14</v>
      </c>
      <c r="F867" s="24" t="s">
        <v>211</v>
      </c>
      <c r="G867" s="24" t="s">
        <v>225</v>
      </c>
      <c r="H867" s="23" t="s">
        <v>226</v>
      </c>
      <c r="I867" s="24" t="s">
        <v>226</v>
      </c>
      <c r="J867" s="23" t="s">
        <v>226</v>
      </c>
      <c r="K867" s="24" t="s">
        <v>225</v>
      </c>
      <c r="L867" s="23"/>
      <c r="M867" s="26" t="s">
        <v>536</v>
      </c>
      <c r="N867" s="24">
        <v>2021</v>
      </c>
    </row>
    <row r="868" spans="1:14">
      <c r="A868" s="24">
        <v>2020</v>
      </c>
      <c r="B868" s="24" t="s">
        <v>136</v>
      </c>
      <c r="C868" s="24" t="s">
        <v>189</v>
      </c>
      <c r="D868" s="24" t="s">
        <v>195</v>
      </c>
      <c r="E868" s="23"/>
      <c r="F868" s="24" t="s">
        <v>207</v>
      </c>
      <c r="G868" s="24" t="s">
        <v>225</v>
      </c>
      <c r="H868" s="23" t="s">
        <v>225</v>
      </c>
      <c r="I868" s="24" t="s">
        <v>225</v>
      </c>
      <c r="J868" s="23" t="s">
        <v>226</v>
      </c>
      <c r="K868" s="24" t="s">
        <v>225</v>
      </c>
      <c r="L868" s="23"/>
      <c r="M868" s="26" t="s">
        <v>537</v>
      </c>
      <c r="N868" s="24">
        <v>2021</v>
      </c>
    </row>
    <row r="869" spans="1:14">
      <c r="A869" s="24">
        <v>2020</v>
      </c>
      <c r="B869" s="24" t="s">
        <v>136</v>
      </c>
      <c r="C869" s="24" t="s">
        <v>176</v>
      </c>
      <c r="D869" s="24" t="s">
        <v>183</v>
      </c>
      <c r="E869" s="23"/>
      <c r="F869" s="24" t="s">
        <v>211</v>
      </c>
      <c r="G869" s="24" t="s">
        <v>225</v>
      </c>
      <c r="H869" s="23" t="s">
        <v>225</v>
      </c>
      <c r="I869" s="24" t="s">
        <v>225</v>
      </c>
      <c r="J869" s="23" t="s">
        <v>226</v>
      </c>
      <c r="K869" s="24" t="s">
        <v>225</v>
      </c>
      <c r="L869" s="23"/>
      <c r="M869" s="26" t="s">
        <v>538</v>
      </c>
      <c r="N869" s="24">
        <v>2021</v>
      </c>
    </row>
    <row r="870" spans="1:14">
      <c r="A870" s="24">
        <v>2020</v>
      </c>
      <c r="B870" s="24" t="s">
        <v>78</v>
      </c>
      <c r="C870" s="24" t="s">
        <v>122</v>
      </c>
      <c r="D870" s="24" t="s">
        <v>368</v>
      </c>
      <c r="E870" s="23">
        <v>5</v>
      </c>
      <c r="F870" s="24" t="s">
        <v>211</v>
      </c>
      <c r="G870" s="24" t="s">
        <v>225</v>
      </c>
      <c r="H870" s="23" t="s">
        <v>226</v>
      </c>
      <c r="I870" s="24" t="s">
        <v>226</v>
      </c>
      <c r="J870" s="23" t="s">
        <v>226</v>
      </c>
      <c r="K870" s="24" t="s">
        <v>225</v>
      </c>
      <c r="L870" s="23"/>
      <c r="M870" s="26" t="s">
        <v>538</v>
      </c>
      <c r="N870" s="24">
        <v>2021</v>
      </c>
    </row>
    <row r="871" spans="1:14">
      <c r="A871" s="24">
        <v>2020</v>
      </c>
      <c r="B871" s="24" t="s">
        <v>136</v>
      </c>
      <c r="C871" s="24" t="s">
        <v>137</v>
      </c>
      <c r="D871" s="24" t="s">
        <v>140</v>
      </c>
      <c r="E871" s="23">
        <v>1</v>
      </c>
      <c r="F871" s="24" t="s">
        <v>207</v>
      </c>
      <c r="G871" s="24" t="s">
        <v>225</v>
      </c>
      <c r="H871" s="23" t="s">
        <v>226</v>
      </c>
      <c r="I871" s="24" t="s">
        <v>225</v>
      </c>
      <c r="J871" s="23" t="s">
        <v>226</v>
      </c>
      <c r="K871" s="24" t="s">
        <v>225</v>
      </c>
      <c r="L871" s="23"/>
      <c r="M871" s="26" t="s">
        <v>538</v>
      </c>
      <c r="N871" s="24">
        <v>2021</v>
      </c>
    </row>
    <row r="872" spans="1:14">
      <c r="A872" s="24">
        <v>2020</v>
      </c>
      <c r="B872" s="24" t="s">
        <v>78</v>
      </c>
      <c r="C872" s="24" t="s">
        <v>683</v>
      </c>
      <c r="D872" s="24" t="s">
        <v>115</v>
      </c>
      <c r="E872" s="23">
        <v>4</v>
      </c>
      <c r="F872" s="24" t="s">
        <v>207</v>
      </c>
      <c r="G872" s="24" t="s">
        <v>225</v>
      </c>
      <c r="H872" s="23" t="s">
        <v>226</v>
      </c>
      <c r="I872" s="24" t="s">
        <v>226</v>
      </c>
      <c r="J872" s="23" t="s">
        <v>226</v>
      </c>
      <c r="K872" s="24" t="s">
        <v>225</v>
      </c>
      <c r="L872" s="23"/>
      <c r="M872" s="26" t="s">
        <v>538</v>
      </c>
      <c r="N872" s="24">
        <v>2021</v>
      </c>
    </row>
    <row r="873" spans="1:14">
      <c r="A873" s="24">
        <v>2020</v>
      </c>
      <c r="B873" s="24" t="s">
        <v>4</v>
      </c>
      <c r="C873" s="24" t="s">
        <v>5</v>
      </c>
      <c r="D873" s="24" t="s">
        <v>9</v>
      </c>
      <c r="E873" s="23">
        <v>11</v>
      </c>
      <c r="F873" s="24" t="s">
        <v>207</v>
      </c>
      <c r="G873" s="24" t="s">
        <v>225</v>
      </c>
      <c r="H873" s="23" t="s">
        <v>226</v>
      </c>
      <c r="I873" s="24" t="s">
        <v>225</v>
      </c>
      <c r="J873" s="23" t="s">
        <v>226</v>
      </c>
      <c r="K873" s="24" t="s">
        <v>225</v>
      </c>
      <c r="L873" s="23"/>
      <c r="M873" s="26" t="s">
        <v>538</v>
      </c>
      <c r="N873" s="24">
        <v>2021</v>
      </c>
    </row>
    <row r="874" spans="1:14">
      <c r="A874" s="24">
        <v>2020</v>
      </c>
      <c r="B874" s="24" t="s">
        <v>4</v>
      </c>
      <c r="C874" s="24" t="s">
        <v>5</v>
      </c>
      <c r="D874" s="24" t="s">
        <v>7</v>
      </c>
      <c r="E874" s="23">
        <v>31</v>
      </c>
      <c r="F874" s="24" t="s">
        <v>207</v>
      </c>
      <c r="G874" s="24" t="s">
        <v>225</v>
      </c>
      <c r="H874" s="23" t="s">
        <v>226</v>
      </c>
      <c r="I874" s="24" t="s">
        <v>226</v>
      </c>
      <c r="J874" s="23" t="s">
        <v>226</v>
      </c>
      <c r="K874" s="24" t="s">
        <v>225</v>
      </c>
      <c r="L874" s="23"/>
      <c r="M874" s="26" t="s">
        <v>538</v>
      </c>
      <c r="N874" s="24">
        <v>2021</v>
      </c>
    </row>
    <row r="875" spans="1:14">
      <c r="A875" s="24">
        <v>2020</v>
      </c>
      <c r="B875" s="24" t="s">
        <v>78</v>
      </c>
      <c r="C875" s="24" t="s">
        <v>79</v>
      </c>
      <c r="D875" s="24" t="s">
        <v>539</v>
      </c>
      <c r="E875" s="23">
        <v>5</v>
      </c>
      <c r="F875" s="24" t="s">
        <v>211</v>
      </c>
      <c r="G875" s="24" t="s">
        <v>225</v>
      </c>
      <c r="H875" s="23" t="s">
        <v>226</v>
      </c>
      <c r="I875" s="24" t="s">
        <v>225</v>
      </c>
      <c r="J875" s="23" t="s">
        <v>226</v>
      </c>
      <c r="K875" s="24" t="s">
        <v>225</v>
      </c>
      <c r="L875" s="23"/>
      <c r="M875" s="25">
        <v>44257</v>
      </c>
      <c r="N875" s="24">
        <v>2021</v>
      </c>
    </row>
    <row r="876" spans="1:14">
      <c r="A876" s="24">
        <v>2020</v>
      </c>
      <c r="B876" s="24" t="s">
        <v>136</v>
      </c>
      <c r="C876" s="24" t="s">
        <v>685</v>
      </c>
      <c r="D876" s="24" t="s">
        <v>485</v>
      </c>
      <c r="E876" s="23">
        <v>15</v>
      </c>
      <c r="F876" s="24" t="s">
        <v>211</v>
      </c>
      <c r="G876" s="24" t="s">
        <v>225</v>
      </c>
      <c r="H876" s="23" t="s">
        <v>226</v>
      </c>
      <c r="I876" s="24" t="s">
        <v>225</v>
      </c>
      <c r="J876" s="23" t="s">
        <v>226</v>
      </c>
      <c r="K876" s="24" t="s">
        <v>225</v>
      </c>
      <c r="L876" s="23"/>
      <c r="M876" s="25">
        <v>44260</v>
      </c>
      <c r="N876" s="24">
        <v>2021</v>
      </c>
    </row>
    <row r="877" spans="1:14">
      <c r="A877" s="24">
        <v>2020</v>
      </c>
      <c r="B877" s="24" t="s">
        <v>4</v>
      </c>
      <c r="C877" s="24" t="s">
        <v>18</v>
      </c>
      <c r="D877" s="24" t="s">
        <v>20</v>
      </c>
      <c r="E877" s="23">
        <v>1</v>
      </c>
      <c r="F877" s="24" t="s">
        <v>211</v>
      </c>
      <c r="G877" s="23" t="s">
        <v>226</v>
      </c>
      <c r="H877" s="23" t="s">
        <v>226</v>
      </c>
      <c r="I877" s="24" t="s">
        <v>226</v>
      </c>
      <c r="J877" s="23" t="s">
        <v>226</v>
      </c>
      <c r="K877" s="24" t="s">
        <v>225</v>
      </c>
      <c r="L877" s="23"/>
      <c r="M877" s="25">
        <v>44260</v>
      </c>
      <c r="N877" s="24">
        <v>2021</v>
      </c>
    </row>
    <row r="878" spans="1:14">
      <c r="A878" s="24">
        <v>2020</v>
      </c>
      <c r="B878" s="24" t="s">
        <v>4</v>
      </c>
      <c r="C878" s="24" t="s">
        <v>23</v>
      </c>
      <c r="D878" s="24" t="s">
        <v>25</v>
      </c>
      <c r="E878" s="23"/>
      <c r="F878" s="24" t="s">
        <v>211</v>
      </c>
      <c r="G878" s="24" t="s">
        <v>225</v>
      </c>
      <c r="H878" s="23" t="s">
        <v>225</v>
      </c>
      <c r="I878" s="24" t="s">
        <v>225</v>
      </c>
      <c r="J878" s="23" t="s">
        <v>226</v>
      </c>
      <c r="K878" s="24" t="s">
        <v>225</v>
      </c>
      <c r="L878" s="23"/>
      <c r="M878" s="26" t="s">
        <v>540</v>
      </c>
      <c r="N878" s="24">
        <v>2021</v>
      </c>
    </row>
    <row r="879" spans="1:14">
      <c r="A879" s="24">
        <v>2020</v>
      </c>
      <c r="B879" s="24" t="s">
        <v>136</v>
      </c>
      <c r="C879" s="24" t="s">
        <v>176</v>
      </c>
      <c r="D879" s="24" t="s">
        <v>177</v>
      </c>
      <c r="E879" s="23"/>
      <c r="F879" s="24" t="s">
        <v>211</v>
      </c>
      <c r="G879" s="24" t="s">
        <v>225</v>
      </c>
      <c r="H879" s="23" t="s">
        <v>225</v>
      </c>
      <c r="I879" s="24" t="s">
        <v>226</v>
      </c>
      <c r="J879" s="23" t="s">
        <v>226</v>
      </c>
      <c r="K879" s="24" t="s">
        <v>225</v>
      </c>
      <c r="L879" s="23"/>
      <c r="M879" s="26" t="s">
        <v>541</v>
      </c>
      <c r="N879" s="24">
        <v>2021</v>
      </c>
    </row>
    <row r="880" spans="1:14">
      <c r="A880" s="24">
        <v>2020</v>
      </c>
      <c r="B880" s="24" t="s">
        <v>78</v>
      </c>
      <c r="C880" s="24" t="s">
        <v>80</v>
      </c>
      <c r="D880" s="24" t="s">
        <v>86</v>
      </c>
      <c r="E880" s="23"/>
      <c r="F880" s="24" t="s">
        <v>207</v>
      </c>
      <c r="G880" s="24" t="s">
        <v>225</v>
      </c>
      <c r="H880" s="23" t="s">
        <v>225</v>
      </c>
      <c r="I880" s="24" t="s">
        <v>226</v>
      </c>
      <c r="J880" s="23" t="s">
        <v>226</v>
      </c>
      <c r="K880" s="24" t="s">
        <v>225</v>
      </c>
      <c r="L880" s="23"/>
      <c r="M880" s="26" t="s">
        <v>542</v>
      </c>
      <c r="N880" s="24">
        <v>2021</v>
      </c>
    </row>
    <row r="881" spans="1:14">
      <c r="A881" s="24">
        <v>2020</v>
      </c>
      <c r="B881" s="24" t="s">
        <v>4</v>
      </c>
      <c r="C881" s="24" t="s">
        <v>5</v>
      </c>
      <c r="D881" s="24" t="s">
        <v>6</v>
      </c>
      <c r="E881" s="23">
        <v>3</v>
      </c>
      <c r="F881" s="24" t="s">
        <v>207</v>
      </c>
      <c r="G881" s="24" t="s">
        <v>225</v>
      </c>
      <c r="H881" s="23" t="s">
        <v>226</v>
      </c>
      <c r="I881" s="24" t="s">
        <v>226</v>
      </c>
      <c r="J881" s="23" t="s">
        <v>226</v>
      </c>
      <c r="K881" s="24" t="s">
        <v>225</v>
      </c>
      <c r="L881" s="23"/>
      <c r="M881" s="26" t="s">
        <v>542</v>
      </c>
      <c r="N881" s="24">
        <v>2021</v>
      </c>
    </row>
    <row r="882" spans="1:14">
      <c r="A882" s="24">
        <v>2020</v>
      </c>
      <c r="B882" s="24" t="s">
        <v>78</v>
      </c>
      <c r="C882" s="24" t="s">
        <v>95</v>
      </c>
      <c r="D882" s="24" t="s">
        <v>96</v>
      </c>
      <c r="E882" s="23">
        <v>1</v>
      </c>
      <c r="F882" s="24" t="s">
        <v>207</v>
      </c>
      <c r="G882" s="24" t="s">
        <v>225</v>
      </c>
      <c r="H882" s="23" t="s">
        <v>226</v>
      </c>
      <c r="I882" s="24" t="s">
        <v>225</v>
      </c>
      <c r="J882" s="23" t="s">
        <v>226</v>
      </c>
      <c r="K882" s="24" t="s">
        <v>225</v>
      </c>
      <c r="L882" s="23"/>
      <c r="M882" s="26" t="s">
        <v>542</v>
      </c>
      <c r="N882" s="24">
        <v>2021</v>
      </c>
    </row>
    <row r="883" spans="1:14">
      <c r="A883" s="24">
        <v>2020</v>
      </c>
      <c r="B883" s="24" t="s">
        <v>136</v>
      </c>
      <c r="C883" s="24" t="s">
        <v>168</v>
      </c>
      <c r="D883" s="24" t="s">
        <v>170</v>
      </c>
      <c r="E883" s="23">
        <v>10</v>
      </c>
      <c r="F883" s="24" t="s">
        <v>207</v>
      </c>
      <c r="G883" s="24" t="s">
        <v>225</v>
      </c>
      <c r="H883" s="23" t="s">
        <v>226</v>
      </c>
      <c r="I883" s="24" t="s">
        <v>226</v>
      </c>
      <c r="J883" s="23" t="s">
        <v>226</v>
      </c>
      <c r="K883" s="24" t="s">
        <v>225</v>
      </c>
      <c r="L883" s="23"/>
      <c r="M883" s="26" t="s">
        <v>542</v>
      </c>
      <c r="N883" s="24">
        <v>2021</v>
      </c>
    </row>
    <row r="884" spans="1:14">
      <c r="A884" s="24">
        <v>2020</v>
      </c>
      <c r="B884" s="24" t="s">
        <v>136</v>
      </c>
      <c r="C884" s="24" t="s">
        <v>137</v>
      </c>
      <c r="D884" s="24" t="s">
        <v>138</v>
      </c>
      <c r="E884" s="23">
        <v>4</v>
      </c>
      <c r="F884" s="24" t="s">
        <v>207</v>
      </c>
      <c r="G884" s="24" t="s">
        <v>225</v>
      </c>
      <c r="H884" s="23" t="s">
        <v>226</v>
      </c>
      <c r="I884" s="24" t="s">
        <v>226</v>
      </c>
      <c r="J884" s="23" t="s">
        <v>226</v>
      </c>
      <c r="K884" s="24" t="s">
        <v>225</v>
      </c>
      <c r="L884" s="23"/>
      <c r="M884" s="26" t="s">
        <v>542</v>
      </c>
      <c r="N884" s="24">
        <v>2021</v>
      </c>
    </row>
    <row r="885" spans="1:14">
      <c r="A885" s="24">
        <v>2020</v>
      </c>
      <c r="B885" s="24" t="s">
        <v>78</v>
      </c>
      <c r="C885" s="24" t="s">
        <v>95</v>
      </c>
      <c r="D885" s="24" t="s">
        <v>98</v>
      </c>
      <c r="E885" s="23">
        <v>3</v>
      </c>
      <c r="F885" s="24" t="s">
        <v>207</v>
      </c>
      <c r="G885" s="24" t="s">
        <v>225</v>
      </c>
      <c r="H885" s="23" t="s">
        <v>226</v>
      </c>
      <c r="I885" s="24" t="s">
        <v>226</v>
      </c>
      <c r="J885" s="23" t="s">
        <v>226</v>
      </c>
      <c r="K885" s="24" t="s">
        <v>225</v>
      </c>
      <c r="L885" s="23"/>
      <c r="M885" s="26" t="s">
        <v>543</v>
      </c>
      <c r="N885" s="24">
        <v>2021</v>
      </c>
    </row>
    <row r="886" spans="1:14">
      <c r="A886" s="24">
        <v>2020</v>
      </c>
      <c r="B886" s="24" t="s">
        <v>78</v>
      </c>
      <c r="C886" s="24" t="s">
        <v>683</v>
      </c>
      <c r="D886" s="24" t="s">
        <v>115</v>
      </c>
      <c r="E886" s="23">
        <v>5</v>
      </c>
      <c r="F886" s="24" t="s">
        <v>207</v>
      </c>
      <c r="G886" s="24" t="s">
        <v>225</v>
      </c>
      <c r="H886" s="23" t="s">
        <v>226</v>
      </c>
      <c r="I886" s="24" t="s">
        <v>225</v>
      </c>
      <c r="J886" s="23" t="s">
        <v>226</v>
      </c>
      <c r="K886" s="24" t="s">
        <v>225</v>
      </c>
      <c r="L886" s="23"/>
      <c r="M886" s="26" t="s">
        <v>544</v>
      </c>
      <c r="N886" s="24">
        <v>2021</v>
      </c>
    </row>
    <row r="887" spans="1:14">
      <c r="A887" s="24">
        <v>2020</v>
      </c>
      <c r="B887" s="24" t="s">
        <v>136</v>
      </c>
      <c r="C887" s="24" t="s">
        <v>189</v>
      </c>
      <c r="D887" s="24" t="s">
        <v>196</v>
      </c>
      <c r="E887" s="23">
        <v>4</v>
      </c>
      <c r="F887" s="24" t="s">
        <v>207</v>
      </c>
      <c r="G887" s="24" t="s">
        <v>225</v>
      </c>
      <c r="H887" s="23" t="s">
        <v>226</v>
      </c>
      <c r="I887" s="24" t="s">
        <v>225</v>
      </c>
      <c r="J887" s="23" t="s">
        <v>226</v>
      </c>
      <c r="K887" s="24" t="s">
        <v>225</v>
      </c>
      <c r="L887" s="23"/>
      <c r="M887" s="26" t="s">
        <v>545</v>
      </c>
      <c r="N887" s="24">
        <v>2021</v>
      </c>
    </row>
    <row r="888" spans="1:14">
      <c r="A888" s="24">
        <v>2020</v>
      </c>
      <c r="B888" s="24" t="s">
        <v>136</v>
      </c>
      <c r="C888" s="24" t="s">
        <v>160</v>
      </c>
      <c r="D888" s="24" t="s">
        <v>306</v>
      </c>
      <c r="E888" s="23">
        <v>1</v>
      </c>
      <c r="F888" s="24" t="s">
        <v>211</v>
      </c>
      <c r="G888" s="24" t="s">
        <v>225</v>
      </c>
      <c r="H888" s="23" t="s">
        <v>226</v>
      </c>
      <c r="I888" s="24" t="s">
        <v>225</v>
      </c>
      <c r="J888" s="23" t="s">
        <v>226</v>
      </c>
      <c r="K888" s="24" t="s">
        <v>225</v>
      </c>
      <c r="L888" s="23"/>
      <c r="M888" s="26" t="s">
        <v>545</v>
      </c>
      <c r="N888" s="24">
        <v>2021</v>
      </c>
    </row>
    <row r="889" spans="1:14">
      <c r="A889" s="24">
        <v>2020</v>
      </c>
      <c r="B889" s="24" t="s">
        <v>78</v>
      </c>
      <c r="C889" s="24" t="s">
        <v>79</v>
      </c>
      <c r="D889" s="24" t="s">
        <v>383</v>
      </c>
      <c r="E889" s="23">
        <v>7</v>
      </c>
      <c r="F889" s="24" t="s">
        <v>207</v>
      </c>
      <c r="G889" s="24" t="s">
        <v>225</v>
      </c>
      <c r="H889" s="23" t="s">
        <v>226</v>
      </c>
      <c r="I889" s="24" t="s">
        <v>226</v>
      </c>
      <c r="J889" s="23" t="s">
        <v>226</v>
      </c>
      <c r="K889" s="24" t="s">
        <v>225</v>
      </c>
      <c r="L889" s="23"/>
      <c r="M889" s="26" t="s">
        <v>545</v>
      </c>
      <c r="N889" s="24">
        <v>2021</v>
      </c>
    </row>
    <row r="890" spans="1:14">
      <c r="A890" s="24">
        <v>2020</v>
      </c>
      <c r="B890" s="24" t="s">
        <v>4</v>
      </c>
      <c r="C890" s="24" t="s">
        <v>203</v>
      </c>
      <c r="D890" s="24" t="s">
        <v>204</v>
      </c>
      <c r="E890" s="23">
        <v>4</v>
      </c>
      <c r="F890" s="24" t="s">
        <v>211</v>
      </c>
      <c r="G890" s="24" t="s">
        <v>225</v>
      </c>
      <c r="H890" s="23" t="s">
        <v>226</v>
      </c>
      <c r="I890" s="24" t="s">
        <v>226</v>
      </c>
      <c r="J890" s="23" t="s">
        <v>226</v>
      </c>
      <c r="K890" s="24" t="s">
        <v>225</v>
      </c>
      <c r="L890" s="23"/>
      <c r="M890" s="26" t="s">
        <v>545</v>
      </c>
      <c r="N890" s="24">
        <v>2021</v>
      </c>
    </row>
    <row r="891" spans="1:14">
      <c r="A891" s="24">
        <v>2020</v>
      </c>
      <c r="B891" s="24" t="s">
        <v>136</v>
      </c>
      <c r="C891" s="24" t="s">
        <v>146</v>
      </c>
      <c r="D891" s="24" t="s">
        <v>256</v>
      </c>
      <c r="E891" s="23">
        <v>5</v>
      </c>
      <c r="F891" s="24" t="s">
        <v>207</v>
      </c>
      <c r="G891" s="24" t="s">
        <v>225</v>
      </c>
      <c r="H891" s="23" t="s">
        <v>226</v>
      </c>
      <c r="I891" s="24" t="s">
        <v>225</v>
      </c>
      <c r="J891" s="23" t="s">
        <v>226</v>
      </c>
      <c r="K891" s="24" t="s">
        <v>225</v>
      </c>
      <c r="L891" s="23"/>
      <c r="M891" s="25">
        <v>44288</v>
      </c>
      <c r="N891" s="24">
        <v>2021</v>
      </c>
    </row>
    <row r="892" spans="1:14">
      <c r="A892" s="24">
        <v>2020</v>
      </c>
      <c r="B892" s="24" t="s">
        <v>78</v>
      </c>
      <c r="C892" s="24" t="s">
        <v>122</v>
      </c>
      <c r="D892" s="24" t="s">
        <v>123</v>
      </c>
      <c r="E892" s="23">
        <v>4</v>
      </c>
      <c r="F892" s="24" t="s">
        <v>211</v>
      </c>
      <c r="G892" s="24" t="s">
        <v>225</v>
      </c>
      <c r="H892" s="23" t="s">
        <v>226</v>
      </c>
      <c r="I892" s="24" t="s">
        <v>225</v>
      </c>
      <c r="J892" s="23" t="s">
        <v>226</v>
      </c>
      <c r="K892" s="24" t="s">
        <v>225</v>
      </c>
      <c r="L892" s="23"/>
      <c r="M892" s="25">
        <v>44288</v>
      </c>
      <c r="N892" s="24">
        <v>2021</v>
      </c>
    </row>
    <row r="893" spans="1:14">
      <c r="A893" s="24">
        <v>2020</v>
      </c>
      <c r="B893" s="24" t="s">
        <v>78</v>
      </c>
      <c r="C893" s="24" t="s">
        <v>79</v>
      </c>
      <c r="D893" s="24" t="s">
        <v>357</v>
      </c>
      <c r="E893" s="23">
        <v>7</v>
      </c>
      <c r="F893" s="24" t="s">
        <v>211</v>
      </c>
      <c r="G893" s="24" t="s">
        <v>225</v>
      </c>
      <c r="H893" s="23" t="s">
        <v>226</v>
      </c>
      <c r="I893" s="24" t="s">
        <v>226</v>
      </c>
      <c r="J893" s="23" t="s">
        <v>226</v>
      </c>
      <c r="K893" s="24" t="s">
        <v>225</v>
      </c>
      <c r="L893" s="23"/>
      <c r="M893" s="25">
        <v>44288</v>
      </c>
      <c r="N893" s="24">
        <v>2021</v>
      </c>
    </row>
    <row r="894" spans="1:14">
      <c r="A894" s="24">
        <v>2020</v>
      </c>
      <c r="B894" s="24" t="s">
        <v>78</v>
      </c>
      <c r="C894" s="24" t="s">
        <v>683</v>
      </c>
      <c r="D894" s="24" t="s">
        <v>546</v>
      </c>
      <c r="E894" s="23">
        <v>1</v>
      </c>
      <c r="F894" s="24" t="s">
        <v>207</v>
      </c>
      <c r="G894" s="24" t="s">
        <v>225</v>
      </c>
      <c r="H894" s="23" t="s">
        <v>226</v>
      </c>
      <c r="I894" s="24" t="s">
        <v>225</v>
      </c>
      <c r="J894" s="23" t="s">
        <v>226</v>
      </c>
      <c r="K894" s="24" t="s">
        <v>225</v>
      </c>
      <c r="L894" s="23"/>
      <c r="M894" s="25">
        <v>44288</v>
      </c>
      <c r="N894" s="24">
        <v>2021</v>
      </c>
    </row>
    <row r="895" spans="1:14">
      <c r="A895" s="24">
        <v>2020</v>
      </c>
      <c r="B895" s="24" t="s">
        <v>136</v>
      </c>
      <c r="C895" s="24" t="s">
        <v>146</v>
      </c>
      <c r="D895" s="24" t="s">
        <v>256</v>
      </c>
      <c r="E895" s="23">
        <v>1</v>
      </c>
      <c r="F895" s="24" t="s">
        <v>207</v>
      </c>
      <c r="G895" s="23" t="s">
        <v>226</v>
      </c>
      <c r="H895" s="23" t="s">
        <v>226</v>
      </c>
      <c r="I895" s="24" t="s">
        <v>225</v>
      </c>
      <c r="J895" s="23" t="s">
        <v>226</v>
      </c>
      <c r="K895" s="24" t="s">
        <v>225</v>
      </c>
      <c r="L895" s="23"/>
      <c r="M895" s="25">
        <v>44289</v>
      </c>
      <c r="N895" s="24">
        <v>2021</v>
      </c>
    </row>
    <row r="896" spans="1:14">
      <c r="A896" s="24">
        <v>2020</v>
      </c>
      <c r="B896" s="24" t="s">
        <v>4</v>
      </c>
      <c r="C896" s="24" t="s">
        <v>5</v>
      </c>
      <c r="D896" s="24" t="s">
        <v>13</v>
      </c>
      <c r="E896" s="23">
        <v>9</v>
      </c>
      <c r="F896" s="24" t="s">
        <v>211</v>
      </c>
      <c r="G896" s="24" t="s">
        <v>225</v>
      </c>
      <c r="H896" s="23" t="s">
        <v>226</v>
      </c>
      <c r="I896" s="24" t="s">
        <v>226</v>
      </c>
      <c r="J896" s="23" t="s">
        <v>226</v>
      </c>
      <c r="K896" s="24" t="s">
        <v>225</v>
      </c>
      <c r="L896" s="23"/>
      <c r="M896" s="25">
        <v>44292</v>
      </c>
      <c r="N896" s="24">
        <v>2021</v>
      </c>
    </row>
    <row r="897" spans="1:14">
      <c r="A897" s="24">
        <v>2020</v>
      </c>
      <c r="B897" s="24" t="s">
        <v>136</v>
      </c>
      <c r="C897" s="24" t="s">
        <v>152</v>
      </c>
      <c r="D897" s="24" t="s">
        <v>159</v>
      </c>
      <c r="E897" s="23">
        <v>1</v>
      </c>
      <c r="F897" s="24" t="s">
        <v>207</v>
      </c>
      <c r="G897" s="23" t="s">
        <v>226</v>
      </c>
      <c r="H897" s="23" t="s">
        <v>226</v>
      </c>
      <c r="I897" s="24" t="s">
        <v>225</v>
      </c>
      <c r="J897" s="23" t="s">
        <v>226</v>
      </c>
      <c r="K897" s="24" t="s">
        <v>225</v>
      </c>
      <c r="L897" s="23"/>
      <c r="M897" s="26" t="s">
        <v>547</v>
      </c>
      <c r="N897" s="24">
        <v>2021</v>
      </c>
    </row>
    <row r="898" spans="1:14">
      <c r="A898" s="24">
        <v>2020</v>
      </c>
      <c r="B898" s="24" t="s">
        <v>136</v>
      </c>
      <c r="C898" s="24" t="s">
        <v>137</v>
      </c>
      <c r="D898" s="24" t="s">
        <v>140</v>
      </c>
      <c r="E898" s="23">
        <v>2</v>
      </c>
      <c r="F898" s="24" t="s">
        <v>207</v>
      </c>
      <c r="G898" s="24" t="s">
        <v>225</v>
      </c>
      <c r="H898" s="23" t="s">
        <v>226</v>
      </c>
      <c r="I898" s="24" t="s">
        <v>226</v>
      </c>
      <c r="J898" s="23" t="s">
        <v>226</v>
      </c>
      <c r="K898" s="24" t="s">
        <v>225</v>
      </c>
      <c r="L898" s="23"/>
      <c r="M898" s="26" t="s">
        <v>548</v>
      </c>
      <c r="N898" s="24">
        <v>2021</v>
      </c>
    </row>
    <row r="899" spans="1:14">
      <c r="A899" s="24">
        <v>2020</v>
      </c>
      <c r="B899" s="24" t="s">
        <v>4</v>
      </c>
      <c r="C899" s="24" t="s">
        <v>23</v>
      </c>
      <c r="D899" s="24" t="s">
        <v>25</v>
      </c>
      <c r="E899" s="23">
        <v>7</v>
      </c>
      <c r="F899" s="24" t="s">
        <v>207</v>
      </c>
      <c r="G899" s="24" t="s">
        <v>225</v>
      </c>
      <c r="H899" s="23" t="s">
        <v>226</v>
      </c>
      <c r="I899" s="24" t="s">
        <v>225</v>
      </c>
      <c r="J899" s="23" t="s">
        <v>226</v>
      </c>
      <c r="K899" s="24" t="s">
        <v>225</v>
      </c>
      <c r="L899" s="23"/>
      <c r="M899" s="26" t="s">
        <v>548</v>
      </c>
      <c r="N899" s="24">
        <v>2021</v>
      </c>
    </row>
    <row r="900" spans="1:14">
      <c r="A900" s="24">
        <v>2020</v>
      </c>
      <c r="B900" s="24" t="s">
        <v>136</v>
      </c>
      <c r="C900" s="24" t="s">
        <v>152</v>
      </c>
      <c r="D900" s="24" t="s">
        <v>153</v>
      </c>
      <c r="E900" s="23"/>
      <c r="F900" s="24" t="s">
        <v>211</v>
      </c>
      <c r="G900" s="24" t="s">
        <v>225</v>
      </c>
      <c r="H900" s="23" t="s">
        <v>225</v>
      </c>
      <c r="I900" s="24" t="s">
        <v>225</v>
      </c>
      <c r="J900" s="23" t="s">
        <v>226</v>
      </c>
      <c r="K900" s="24" t="s">
        <v>225</v>
      </c>
      <c r="L900" s="23"/>
      <c r="M900" s="26" t="s">
        <v>548</v>
      </c>
      <c r="N900" s="24">
        <v>2021</v>
      </c>
    </row>
    <row r="901" spans="1:14">
      <c r="A901" s="24">
        <v>2020</v>
      </c>
      <c r="B901" s="24" t="s">
        <v>78</v>
      </c>
      <c r="C901" s="24" t="s">
        <v>681</v>
      </c>
      <c r="D901" s="24" t="s">
        <v>198</v>
      </c>
      <c r="E901" s="23">
        <v>12</v>
      </c>
      <c r="F901" s="24" t="s">
        <v>207</v>
      </c>
      <c r="G901" s="24" t="s">
        <v>225</v>
      </c>
      <c r="H901" s="23" t="s">
        <v>226</v>
      </c>
      <c r="I901" s="24" t="s">
        <v>225</v>
      </c>
      <c r="J901" s="23" t="s">
        <v>226</v>
      </c>
      <c r="K901" s="24" t="s">
        <v>225</v>
      </c>
      <c r="L901" s="23"/>
      <c r="M901" s="26" t="s">
        <v>548</v>
      </c>
      <c r="N901" s="24">
        <v>2021</v>
      </c>
    </row>
    <row r="902" spans="1:14">
      <c r="A902" s="24">
        <v>2020</v>
      </c>
      <c r="B902" s="24" t="s">
        <v>136</v>
      </c>
      <c r="C902" s="24" t="s">
        <v>176</v>
      </c>
      <c r="D902" s="24" t="s">
        <v>177</v>
      </c>
      <c r="E902" s="23"/>
      <c r="F902" s="24" t="s">
        <v>211</v>
      </c>
      <c r="G902" s="24" t="s">
        <v>225</v>
      </c>
      <c r="H902" s="23" t="s">
        <v>225</v>
      </c>
      <c r="I902" s="24" t="s">
        <v>225</v>
      </c>
      <c r="J902" s="23" t="s">
        <v>226</v>
      </c>
      <c r="K902" s="24" t="s">
        <v>225</v>
      </c>
      <c r="L902" s="23"/>
      <c r="M902" s="26" t="s">
        <v>549</v>
      </c>
      <c r="N902" s="24">
        <v>2021</v>
      </c>
    </row>
    <row r="903" spans="1:14">
      <c r="A903" s="24">
        <v>2020</v>
      </c>
      <c r="B903" s="24" t="s">
        <v>78</v>
      </c>
      <c r="C903" s="24" t="s">
        <v>95</v>
      </c>
      <c r="D903" s="24" t="s">
        <v>101</v>
      </c>
      <c r="E903" s="23">
        <v>14</v>
      </c>
      <c r="F903" s="24" t="s">
        <v>207</v>
      </c>
      <c r="G903" s="24" t="s">
        <v>225</v>
      </c>
      <c r="H903" s="23" t="s">
        <v>226</v>
      </c>
      <c r="I903" s="24" t="s">
        <v>225</v>
      </c>
      <c r="J903" s="23" t="s">
        <v>226</v>
      </c>
      <c r="K903" s="24" t="s">
        <v>225</v>
      </c>
      <c r="L903" s="23"/>
      <c r="M903" s="26" t="s">
        <v>550</v>
      </c>
      <c r="N903" s="24">
        <v>2021</v>
      </c>
    </row>
    <row r="904" spans="1:14">
      <c r="A904" s="24">
        <v>2020</v>
      </c>
      <c r="B904" s="24" t="s">
        <v>136</v>
      </c>
      <c r="C904" s="24" t="s">
        <v>176</v>
      </c>
      <c r="D904" s="24" t="s">
        <v>177</v>
      </c>
      <c r="E904" s="23"/>
      <c r="F904" s="24" t="s">
        <v>207</v>
      </c>
      <c r="G904" s="24" t="s">
        <v>225</v>
      </c>
      <c r="H904" s="23" t="s">
        <v>225</v>
      </c>
      <c r="I904" s="24" t="s">
        <v>225</v>
      </c>
      <c r="J904" s="23" t="s">
        <v>226</v>
      </c>
      <c r="K904" s="24" t="s">
        <v>225</v>
      </c>
      <c r="L904" s="23"/>
      <c r="M904" s="26" t="s">
        <v>550</v>
      </c>
      <c r="N904" s="24">
        <v>2021</v>
      </c>
    </row>
    <row r="905" spans="1:14">
      <c r="A905" s="24">
        <v>2020</v>
      </c>
      <c r="B905" s="24" t="s">
        <v>136</v>
      </c>
      <c r="C905" s="24" t="s">
        <v>176</v>
      </c>
      <c r="D905" s="24" t="s">
        <v>177</v>
      </c>
      <c r="E905" s="23"/>
      <c r="F905" s="24" t="s">
        <v>207</v>
      </c>
      <c r="G905" s="24" t="s">
        <v>225</v>
      </c>
      <c r="H905" s="23" t="s">
        <v>225</v>
      </c>
      <c r="I905" s="24" t="s">
        <v>225</v>
      </c>
      <c r="J905" s="23" t="s">
        <v>226</v>
      </c>
      <c r="K905" s="24" t="s">
        <v>225</v>
      </c>
      <c r="L905" s="23"/>
      <c r="M905" s="26" t="s">
        <v>550</v>
      </c>
      <c r="N905" s="24">
        <v>2021</v>
      </c>
    </row>
    <row r="906" spans="1:14">
      <c r="A906" s="24">
        <v>2020</v>
      </c>
      <c r="B906" s="24" t="s">
        <v>136</v>
      </c>
      <c r="C906" s="24" t="s">
        <v>685</v>
      </c>
      <c r="D906" s="24" t="s">
        <v>485</v>
      </c>
      <c r="E906" s="23"/>
      <c r="F906" s="24" t="s">
        <v>211</v>
      </c>
      <c r="G906" s="24" t="s">
        <v>225</v>
      </c>
      <c r="H906" s="23" t="s">
        <v>225</v>
      </c>
      <c r="I906" s="24" t="s">
        <v>225</v>
      </c>
      <c r="J906" s="23" t="s">
        <v>226</v>
      </c>
      <c r="K906" s="24" t="s">
        <v>225</v>
      </c>
      <c r="L906" s="23"/>
      <c r="M906" s="26" t="s">
        <v>551</v>
      </c>
      <c r="N906" s="24">
        <v>2021</v>
      </c>
    </row>
    <row r="907" spans="1:14">
      <c r="A907" s="24">
        <v>2020</v>
      </c>
      <c r="B907" s="24" t="s">
        <v>136</v>
      </c>
      <c r="C907" s="24" t="s">
        <v>176</v>
      </c>
      <c r="D907" s="24" t="s">
        <v>177</v>
      </c>
      <c r="E907" s="23"/>
      <c r="F907" s="24" t="s">
        <v>211</v>
      </c>
      <c r="G907" s="24" t="s">
        <v>225</v>
      </c>
      <c r="H907" s="23" t="s">
        <v>225</v>
      </c>
      <c r="I907" s="24" t="s">
        <v>225</v>
      </c>
      <c r="J907" s="23" t="s">
        <v>226</v>
      </c>
      <c r="K907" s="24" t="s">
        <v>225</v>
      </c>
      <c r="L907" s="23"/>
      <c r="M907" s="26" t="s">
        <v>551</v>
      </c>
      <c r="N907" s="24">
        <v>2021</v>
      </c>
    </row>
    <row r="908" spans="1:14">
      <c r="A908" s="24">
        <v>2020</v>
      </c>
      <c r="B908" s="24" t="s">
        <v>136</v>
      </c>
      <c r="C908" s="24" t="s">
        <v>176</v>
      </c>
      <c r="D908" s="24" t="s">
        <v>177</v>
      </c>
      <c r="E908" s="23">
        <v>2</v>
      </c>
      <c r="F908" s="24" t="s">
        <v>211</v>
      </c>
      <c r="G908" s="24" t="s">
        <v>225</v>
      </c>
      <c r="H908" s="23" t="s">
        <v>226</v>
      </c>
      <c r="I908" s="24" t="s">
        <v>226</v>
      </c>
      <c r="J908" s="23" t="s">
        <v>226</v>
      </c>
      <c r="K908" s="24" t="s">
        <v>225</v>
      </c>
      <c r="L908" s="23"/>
      <c r="M908" s="26" t="s">
        <v>552</v>
      </c>
      <c r="N908" s="24">
        <v>2021</v>
      </c>
    </row>
    <row r="909" spans="1:14">
      <c r="A909" s="24">
        <v>2020</v>
      </c>
      <c r="B909" s="24" t="s">
        <v>4</v>
      </c>
      <c r="C909" s="24" t="s">
        <v>18</v>
      </c>
      <c r="D909" s="24" t="s">
        <v>22</v>
      </c>
      <c r="E909" s="23">
        <v>1</v>
      </c>
      <c r="F909" s="24" t="s">
        <v>211</v>
      </c>
      <c r="G909" s="24" t="s">
        <v>225</v>
      </c>
      <c r="H909" s="23" t="s">
        <v>226</v>
      </c>
      <c r="I909" s="24" t="s">
        <v>225</v>
      </c>
      <c r="J909" s="23" t="s">
        <v>226</v>
      </c>
      <c r="K909" s="24" t="s">
        <v>225</v>
      </c>
      <c r="L909" s="23"/>
      <c r="M909" s="26" t="s">
        <v>552</v>
      </c>
      <c r="N909" s="24">
        <v>2021</v>
      </c>
    </row>
    <row r="910" spans="1:14">
      <c r="A910" s="24">
        <v>2020</v>
      </c>
      <c r="B910" s="24" t="s">
        <v>78</v>
      </c>
      <c r="C910" s="24" t="s">
        <v>95</v>
      </c>
      <c r="D910" s="24" t="s">
        <v>99</v>
      </c>
      <c r="E910" s="23">
        <v>4</v>
      </c>
      <c r="F910" s="24" t="s">
        <v>207</v>
      </c>
      <c r="G910" s="24" t="s">
        <v>225</v>
      </c>
      <c r="H910" s="23" t="s">
        <v>226</v>
      </c>
      <c r="I910" s="24" t="s">
        <v>226</v>
      </c>
      <c r="J910" s="23" t="s">
        <v>226</v>
      </c>
      <c r="K910" s="24" t="s">
        <v>225</v>
      </c>
      <c r="L910" s="23"/>
      <c r="M910" s="26" t="s">
        <v>552</v>
      </c>
      <c r="N910" s="24">
        <v>2021</v>
      </c>
    </row>
    <row r="911" spans="1:14">
      <c r="A911" s="24">
        <v>2020</v>
      </c>
      <c r="B911" s="24" t="s">
        <v>78</v>
      </c>
      <c r="C911" s="24" t="s">
        <v>122</v>
      </c>
      <c r="D911" s="24" t="s">
        <v>125</v>
      </c>
      <c r="E911" s="23">
        <v>3</v>
      </c>
      <c r="F911" s="24" t="s">
        <v>211</v>
      </c>
      <c r="G911" s="24" t="s">
        <v>225</v>
      </c>
      <c r="H911" s="23" t="s">
        <v>226</v>
      </c>
      <c r="I911" s="24" t="s">
        <v>225</v>
      </c>
      <c r="J911" s="23" t="s">
        <v>226</v>
      </c>
      <c r="K911" s="24" t="s">
        <v>225</v>
      </c>
      <c r="L911" s="23"/>
      <c r="M911" s="26" t="s">
        <v>552</v>
      </c>
      <c r="N911" s="24">
        <v>2021</v>
      </c>
    </row>
    <row r="912" spans="1:14">
      <c r="A912" s="24">
        <v>2020</v>
      </c>
      <c r="B912" s="24" t="s">
        <v>136</v>
      </c>
      <c r="C912" s="24" t="s">
        <v>137</v>
      </c>
      <c r="D912" s="24" t="s">
        <v>140</v>
      </c>
      <c r="E912" s="23"/>
      <c r="F912" s="24" t="s">
        <v>207</v>
      </c>
      <c r="G912" s="24" t="s">
        <v>225</v>
      </c>
      <c r="H912" s="23" t="s">
        <v>225</v>
      </c>
      <c r="I912" s="24" t="s">
        <v>225</v>
      </c>
      <c r="J912" s="23" t="s">
        <v>226</v>
      </c>
      <c r="K912" s="24" t="s">
        <v>225</v>
      </c>
      <c r="L912" s="23"/>
      <c r="M912" s="26" t="s">
        <v>553</v>
      </c>
      <c r="N912" s="24">
        <v>2021</v>
      </c>
    </row>
    <row r="913" spans="1:14">
      <c r="A913" s="24">
        <v>2020</v>
      </c>
      <c r="B913" s="24" t="s">
        <v>4</v>
      </c>
      <c r="C913" s="24" t="s">
        <v>5</v>
      </c>
      <c r="D913" s="24" t="s">
        <v>10</v>
      </c>
      <c r="E913" s="23"/>
      <c r="F913" s="24" t="s">
        <v>207</v>
      </c>
      <c r="G913" s="24" t="s">
        <v>225</v>
      </c>
      <c r="H913" s="23" t="s">
        <v>225</v>
      </c>
      <c r="I913" s="24" t="s">
        <v>226</v>
      </c>
      <c r="J913" s="23" t="s">
        <v>226</v>
      </c>
      <c r="K913" s="24" t="s">
        <v>225</v>
      </c>
      <c r="L913" s="23"/>
      <c r="M913" s="26" t="s">
        <v>553</v>
      </c>
      <c r="N913" s="24">
        <v>2021</v>
      </c>
    </row>
    <row r="914" spans="1:14">
      <c r="A914" s="24">
        <v>2020</v>
      </c>
      <c r="B914" s="24" t="s">
        <v>4</v>
      </c>
      <c r="C914" s="24" t="s">
        <v>5</v>
      </c>
      <c r="D914" s="24" t="s">
        <v>11</v>
      </c>
      <c r="E914" s="23">
        <v>21</v>
      </c>
      <c r="F914" s="24" t="s">
        <v>207</v>
      </c>
      <c r="G914" s="24" t="s">
        <v>225</v>
      </c>
      <c r="H914" s="23" t="s">
        <v>226</v>
      </c>
      <c r="I914" s="24" t="s">
        <v>226</v>
      </c>
      <c r="J914" s="23" t="s">
        <v>226</v>
      </c>
      <c r="K914" s="24" t="s">
        <v>225</v>
      </c>
      <c r="L914" s="23"/>
      <c r="M914" s="26" t="s">
        <v>554</v>
      </c>
      <c r="N914" s="24">
        <v>2021</v>
      </c>
    </row>
    <row r="915" spans="1:14">
      <c r="A915" s="24">
        <v>2020</v>
      </c>
      <c r="B915" s="24" t="s">
        <v>136</v>
      </c>
      <c r="C915" s="24" t="s">
        <v>137</v>
      </c>
      <c r="D915" s="24" t="s">
        <v>141</v>
      </c>
      <c r="E915" s="23">
        <v>1</v>
      </c>
      <c r="F915" s="24" t="s">
        <v>211</v>
      </c>
      <c r="G915" s="24" t="s">
        <v>225</v>
      </c>
      <c r="H915" s="23" t="s">
        <v>226</v>
      </c>
      <c r="I915" s="24" t="s">
        <v>226</v>
      </c>
      <c r="J915" s="23" t="s">
        <v>226</v>
      </c>
      <c r="K915" s="24" t="s">
        <v>225</v>
      </c>
      <c r="L915" s="23"/>
      <c r="M915" s="26" t="s">
        <v>555</v>
      </c>
      <c r="N915" s="24">
        <v>2021</v>
      </c>
    </row>
    <row r="916" spans="1:14">
      <c r="A916" s="24">
        <v>2020</v>
      </c>
      <c r="B916" s="24" t="s">
        <v>78</v>
      </c>
      <c r="C916" s="24" t="s">
        <v>79</v>
      </c>
      <c r="D916" s="24" t="s">
        <v>53</v>
      </c>
      <c r="E916" s="23">
        <v>4</v>
      </c>
      <c r="F916" s="24" t="s">
        <v>211</v>
      </c>
      <c r="G916" s="24" t="s">
        <v>225</v>
      </c>
      <c r="H916" s="23" t="s">
        <v>226</v>
      </c>
      <c r="I916" s="24" t="s">
        <v>225</v>
      </c>
      <c r="J916" s="23" t="s">
        <v>226</v>
      </c>
      <c r="K916" s="24" t="s">
        <v>225</v>
      </c>
      <c r="L916" s="23"/>
      <c r="M916" s="26" t="s">
        <v>555</v>
      </c>
      <c r="N916" s="24">
        <v>2021</v>
      </c>
    </row>
    <row r="917" spans="1:14">
      <c r="A917" s="24">
        <v>2020</v>
      </c>
      <c r="B917" s="24" t="s">
        <v>78</v>
      </c>
      <c r="C917" s="24" t="s">
        <v>95</v>
      </c>
      <c r="D917" s="24" t="s">
        <v>100</v>
      </c>
      <c r="E917" s="23"/>
      <c r="F917" s="24" t="s">
        <v>207</v>
      </c>
      <c r="G917" s="24" t="s">
        <v>225</v>
      </c>
      <c r="H917" s="23" t="s">
        <v>225</v>
      </c>
      <c r="I917" s="24" t="s">
        <v>225</v>
      </c>
      <c r="J917" s="23" t="s">
        <v>226</v>
      </c>
      <c r="K917" s="24" t="s">
        <v>225</v>
      </c>
      <c r="L917" s="23"/>
      <c r="M917" s="26" t="s">
        <v>555</v>
      </c>
      <c r="N917" s="24">
        <v>2021</v>
      </c>
    </row>
    <row r="918" spans="1:14">
      <c r="A918" s="24">
        <v>2020</v>
      </c>
      <c r="B918" s="24" t="s">
        <v>136</v>
      </c>
      <c r="C918" s="24" t="s">
        <v>176</v>
      </c>
      <c r="D918" s="24" t="s">
        <v>186</v>
      </c>
      <c r="E918" s="23">
        <v>3</v>
      </c>
      <c r="F918" s="24" t="s">
        <v>211</v>
      </c>
      <c r="G918" s="24" t="s">
        <v>225</v>
      </c>
      <c r="H918" s="23" t="s">
        <v>226</v>
      </c>
      <c r="I918" s="24" t="s">
        <v>226</v>
      </c>
      <c r="J918" s="23" t="s">
        <v>226</v>
      </c>
      <c r="K918" s="24" t="s">
        <v>225</v>
      </c>
      <c r="L918" s="23"/>
      <c r="M918" s="26" t="s">
        <v>556</v>
      </c>
      <c r="N918" s="24">
        <v>2021</v>
      </c>
    </row>
    <row r="919" spans="1:14">
      <c r="A919" s="24">
        <v>2020</v>
      </c>
      <c r="B919" s="24" t="s">
        <v>78</v>
      </c>
      <c r="C919" s="24" t="s">
        <v>122</v>
      </c>
      <c r="D919" s="24" t="s">
        <v>125</v>
      </c>
      <c r="E919" s="23">
        <v>11</v>
      </c>
      <c r="F919" s="24" t="s">
        <v>207</v>
      </c>
      <c r="G919" s="24" t="s">
        <v>225</v>
      </c>
      <c r="H919" s="23" t="s">
        <v>226</v>
      </c>
      <c r="I919" s="24" t="s">
        <v>225</v>
      </c>
      <c r="J919" s="23" t="s">
        <v>226</v>
      </c>
      <c r="K919" s="24" t="s">
        <v>225</v>
      </c>
      <c r="L919" s="23"/>
      <c r="M919" s="26" t="s">
        <v>556</v>
      </c>
      <c r="N919" s="24">
        <v>2021</v>
      </c>
    </row>
    <row r="920" spans="1:14">
      <c r="A920" s="24">
        <v>2020</v>
      </c>
      <c r="B920" s="24" t="s">
        <v>136</v>
      </c>
      <c r="C920" s="24" t="s">
        <v>137</v>
      </c>
      <c r="D920" s="24" t="s">
        <v>141</v>
      </c>
      <c r="E920" s="23">
        <v>10</v>
      </c>
      <c r="F920" s="24" t="s">
        <v>211</v>
      </c>
      <c r="G920" s="24" t="s">
        <v>225</v>
      </c>
      <c r="H920" s="23" t="s">
        <v>226</v>
      </c>
      <c r="I920" s="24" t="s">
        <v>226</v>
      </c>
      <c r="J920" s="23" t="s">
        <v>226</v>
      </c>
      <c r="K920" s="24" t="s">
        <v>225</v>
      </c>
      <c r="L920" s="23"/>
      <c r="M920" s="26" t="s">
        <v>556</v>
      </c>
      <c r="N920" s="24">
        <v>2021</v>
      </c>
    </row>
    <row r="921" spans="1:14">
      <c r="A921" s="24">
        <v>2020</v>
      </c>
      <c r="B921" s="24" t="s">
        <v>136</v>
      </c>
      <c r="C921" s="24" t="s">
        <v>682</v>
      </c>
      <c r="D921" s="24" t="s">
        <v>167</v>
      </c>
      <c r="E921" s="23"/>
      <c r="F921" s="24" t="s">
        <v>211</v>
      </c>
      <c r="G921" s="24" t="s">
        <v>225</v>
      </c>
      <c r="H921" s="23" t="s">
        <v>225</v>
      </c>
      <c r="I921" s="24" t="s">
        <v>226</v>
      </c>
      <c r="J921" s="23" t="s">
        <v>226</v>
      </c>
      <c r="K921" s="24" t="s">
        <v>225</v>
      </c>
      <c r="L921" s="23"/>
      <c r="M921" s="25">
        <v>44318</v>
      </c>
      <c r="N921" s="24">
        <v>2021</v>
      </c>
    </row>
    <row r="922" spans="1:14">
      <c r="A922" s="24">
        <v>2020</v>
      </c>
      <c r="B922" s="24" t="s">
        <v>4</v>
      </c>
      <c r="C922" s="24" t="s">
        <v>5</v>
      </c>
      <c r="D922" s="24" t="s">
        <v>6</v>
      </c>
      <c r="E922" s="23">
        <v>16</v>
      </c>
      <c r="F922" s="24" t="s">
        <v>207</v>
      </c>
      <c r="G922" s="24" t="s">
        <v>225</v>
      </c>
      <c r="H922" s="23" t="s">
        <v>226</v>
      </c>
      <c r="I922" s="24" t="s">
        <v>226</v>
      </c>
      <c r="J922" s="23" t="s">
        <v>226</v>
      </c>
      <c r="K922" s="24" t="s">
        <v>225</v>
      </c>
      <c r="L922" s="23"/>
      <c r="M922" s="25">
        <v>44318</v>
      </c>
      <c r="N922" s="24">
        <v>2021</v>
      </c>
    </row>
    <row r="923" spans="1:14">
      <c r="A923" s="24">
        <v>2020</v>
      </c>
      <c r="B923" s="24" t="s">
        <v>136</v>
      </c>
      <c r="C923" s="24" t="s">
        <v>189</v>
      </c>
      <c r="D923" s="24" t="s">
        <v>195</v>
      </c>
      <c r="E923" s="23">
        <v>3</v>
      </c>
      <c r="F923" s="24" t="s">
        <v>211</v>
      </c>
      <c r="G923" s="24" t="s">
        <v>225</v>
      </c>
      <c r="H923" s="23" t="s">
        <v>226</v>
      </c>
      <c r="I923" s="24" t="s">
        <v>225</v>
      </c>
      <c r="J923" s="23" t="s">
        <v>226</v>
      </c>
      <c r="K923" s="24" t="s">
        <v>225</v>
      </c>
      <c r="L923" s="23"/>
      <c r="M923" s="25">
        <v>44319</v>
      </c>
      <c r="N923" s="24">
        <v>2021</v>
      </c>
    </row>
    <row r="924" spans="1:14">
      <c r="A924" s="24">
        <v>2020</v>
      </c>
      <c r="B924" s="24" t="s">
        <v>136</v>
      </c>
      <c r="C924" s="24" t="s">
        <v>152</v>
      </c>
      <c r="D924" s="24" t="s">
        <v>205</v>
      </c>
      <c r="E924" s="23">
        <v>1</v>
      </c>
      <c r="F924" s="24" t="s">
        <v>207</v>
      </c>
      <c r="G924" s="24" t="s">
        <v>225</v>
      </c>
      <c r="H924" s="23" t="s">
        <v>226</v>
      </c>
      <c r="I924" s="24" t="s">
        <v>225</v>
      </c>
      <c r="J924" s="23" t="s">
        <v>226</v>
      </c>
      <c r="K924" s="24" t="s">
        <v>225</v>
      </c>
      <c r="L924" s="23"/>
      <c r="M924" s="25">
        <v>44319</v>
      </c>
      <c r="N924" s="24">
        <v>2021</v>
      </c>
    </row>
    <row r="925" spans="1:14">
      <c r="A925" s="24">
        <v>2020</v>
      </c>
      <c r="B925" s="24" t="s">
        <v>78</v>
      </c>
      <c r="C925" s="24" t="s">
        <v>79</v>
      </c>
      <c r="D925" s="24" t="s">
        <v>55</v>
      </c>
      <c r="E925" s="23">
        <v>4</v>
      </c>
      <c r="F925" s="24" t="s">
        <v>207</v>
      </c>
      <c r="G925" s="24" t="s">
        <v>225</v>
      </c>
      <c r="H925" s="23" t="s">
        <v>226</v>
      </c>
      <c r="I925" s="24" t="s">
        <v>226</v>
      </c>
      <c r="J925" s="23" t="s">
        <v>226</v>
      </c>
      <c r="K925" s="24" t="s">
        <v>225</v>
      </c>
      <c r="L925" s="23"/>
      <c r="M925" s="25">
        <v>44319</v>
      </c>
      <c r="N925" s="24">
        <v>2021</v>
      </c>
    </row>
    <row r="926" spans="1:14">
      <c r="A926" s="24">
        <v>2020</v>
      </c>
      <c r="B926" s="24" t="s">
        <v>78</v>
      </c>
      <c r="C926" s="24" t="s">
        <v>79</v>
      </c>
      <c r="D926" s="24" t="s">
        <v>56</v>
      </c>
      <c r="E926" s="23">
        <v>7</v>
      </c>
      <c r="F926" s="24" t="s">
        <v>211</v>
      </c>
      <c r="G926" s="24" t="s">
        <v>225</v>
      </c>
      <c r="H926" s="23" t="s">
        <v>226</v>
      </c>
      <c r="I926" s="24" t="s">
        <v>226</v>
      </c>
      <c r="J926" s="23" t="s">
        <v>226</v>
      </c>
      <c r="K926" s="24" t="s">
        <v>225</v>
      </c>
      <c r="L926" s="23"/>
      <c r="M926" s="25">
        <v>44319</v>
      </c>
      <c r="N926" s="24">
        <v>2021</v>
      </c>
    </row>
    <row r="927" spans="1:14">
      <c r="A927" s="24">
        <v>2020</v>
      </c>
      <c r="B927" s="24" t="s">
        <v>136</v>
      </c>
      <c r="C927" s="24" t="s">
        <v>176</v>
      </c>
      <c r="D927" s="24" t="s">
        <v>183</v>
      </c>
      <c r="E927" s="23"/>
      <c r="F927" s="24" t="s">
        <v>211</v>
      </c>
      <c r="G927" s="24" t="s">
        <v>225</v>
      </c>
      <c r="H927" s="23" t="s">
        <v>225</v>
      </c>
      <c r="I927" s="24" t="s">
        <v>225</v>
      </c>
      <c r="J927" s="23" t="s">
        <v>226</v>
      </c>
      <c r="K927" s="24" t="s">
        <v>225</v>
      </c>
      <c r="L927" s="23"/>
      <c r="M927" s="25">
        <v>44319</v>
      </c>
      <c r="N927" s="24">
        <v>2021</v>
      </c>
    </row>
    <row r="928" spans="1:14">
      <c r="A928" s="24">
        <v>2020</v>
      </c>
      <c r="B928" s="24" t="s">
        <v>136</v>
      </c>
      <c r="C928" s="24" t="s">
        <v>137</v>
      </c>
      <c r="D928" s="24" t="s">
        <v>141</v>
      </c>
      <c r="E928" s="23">
        <v>2</v>
      </c>
      <c r="F928" s="24" t="s">
        <v>207</v>
      </c>
      <c r="G928" s="24" t="s">
        <v>225</v>
      </c>
      <c r="H928" s="23" t="s">
        <v>226</v>
      </c>
      <c r="I928" s="24" t="s">
        <v>225</v>
      </c>
      <c r="J928" s="23" t="s">
        <v>226</v>
      </c>
      <c r="K928" s="24" t="s">
        <v>225</v>
      </c>
      <c r="L928" s="23"/>
      <c r="M928" s="25">
        <v>44319</v>
      </c>
      <c r="N928" s="24">
        <v>2021</v>
      </c>
    </row>
    <row r="929" spans="1:14">
      <c r="A929" s="24">
        <v>2020</v>
      </c>
      <c r="B929" s="24" t="s">
        <v>4</v>
      </c>
      <c r="C929" s="24" t="s">
        <v>23</v>
      </c>
      <c r="D929" s="24" t="s">
        <v>27</v>
      </c>
      <c r="E929" s="23">
        <v>4</v>
      </c>
      <c r="F929" s="24" t="s">
        <v>211</v>
      </c>
      <c r="G929" s="24" t="s">
        <v>225</v>
      </c>
      <c r="H929" s="23" t="s">
        <v>226</v>
      </c>
      <c r="I929" s="24" t="s">
        <v>225</v>
      </c>
      <c r="J929" s="23" t="s">
        <v>226</v>
      </c>
      <c r="K929" s="24" t="s">
        <v>225</v>
      </c>
      <c r="L929" s="23"/>
      <c r="M929" s="25">
        <v>44319</v>
      </c>
      <c r="N929" s="24">
        <v>2021</v>
      </c>
    </row>
    <row r="930" spans="1:14">
      <c r="A930" s="24">
        <v>2020</v>
      </c>
      <c r="B930" s="24" t="s">
        <v>136</v>
      </c>
      <c r="C930" s="24" t="s">
        <v>176</v>
      </c>
      <c r="D930" s="24" t="s">
        <v>177</v>
      </c>
      <c r="E930" s="28">
        <v>4</v>
      </c>
      <c r="F930" s="24" t="s">
        <v>207</v>
      </c>
      <c r="G930" s="24" t="s">
        <v>225</v>
      </c>
      <c r="H930" s="23" t="s">
        <v>225</v>
      </c>
      <c r="I930" s="24" t="s">
        <v>225</v>
      </c>
      <c r="J930" s="23" t="s">
        <v>226</v>
      </c>
      <c r="K930" s="24" t="s">
        <v>225</v>
      </c>
      <c r="L930" s="23"/>
      <c r="M930" s="25">
        <v>44319</v>
      </c>
      <c r="N930" s="24">
        <v>2021</v>
      </c>
    </row>
    <row r="931" spans="1:14">
      <c r="A931" s="24">
        <v>2020</v>
      </c>
      <c r="B931" s="24" t="s">
        <v>136</v>
      </c>
      <c r="C931" s="24" t="s">
        <v>176</v>
      </c>
      <c r="D931" s="24" t="s">
        <v>181</v>
      </c>
      <c r="E931" s="23">
        <v>7</v>
      </c>
      <c r="F931" s="24" t="s">
        <v>207</v>
      </c>
      <c r="G931" s="23" t="s">
        <v>226</v>
      </c>
      <c r="H931" s="23" t="s">
        <v>226</v>
      </c>
      <c r="I931" s="24" t="s">
        <v>226</v>
      </c>
      <c r="J931" s="23" t="s">
        <v>226</v>
      </c>
      <c r="K931" s="24" t="s">
        <v>225</v>
      </c>
      <c r="L931" s="23"/>
      <c r="M931" s="25">
        <v>44323</v>
      </c>
      <c r="N931" s="24">
        <v>2021</v>
      </c>
    </row>
    <row r="932" spans="1:14">
      <c r="A932" s="24">
        <v>2020</v>
      </c>
      <c r="B932" s="24" t="s">
        <v>78</v>
      </c>
      <c r="C932" s="24" t="s">
        <v>103</v>
      </c>
      <c r="D932" s="24" t="s">
        <v>109</v>
      </c>
      <c r="E932" s="23">
        <v>4</v>
      </c>
      <c r="F932" s="24" t="s">
        <v>207</v>
      </c>
      <c r="G932" s="24" t="s">
        <v>225</v>
      </c>
      <c r="H932" s="23" t="s">
        <v>226</v>
      </c>
      <c r="I932" s="24" t="s">
        <v>225</v>
      </c>
      <c r="J932" s="23" t="s">
        <v>226</v>
      </c>
      <c r="K932" s="24" t="s">
        <v>225</v>
      </c>
      <c r="L932" s="23"/>
      <c r="M932" s="25">
        <v>44323</v>
      </c>
      <c r="N932" s="24">
        <v>2021</v>
      </c>
    </row>
    <row r="933" spans="1:14">
      <c r="A933" s="24">
        <v>2020</v>
      </c>
      <c r="B933" s="24" t="s">
        <v>4</v>
      </c>
      <c r="C933" s="24" t="s">
        <v>23</v>
      </c>
      <c r="D933" s="24" t="s">
        <v>30</v>
      </c>
      <c r="E933" s="23">
        <v>3</v>
      </c>
      <c r="F933" s="24" t="s">
        <v>207</v>
      </c>
      <c r="G933" s="24" t="s">
        <v>225</v>
      </c>
      <c r="H933" s="23" t="s">
        <v>226</v>
      </c>
      <c r="I933" s="24" t="s">
        <v>225</v>
      </c>
      <c r="J933" s="23" t="s">
        <v>226</v>
      </c>
      <c r="K933" s="24" t="s">
        <v>225</v>
      </c>
      <c r="L933" s="23"/>
      <c r="M933" s="25">
        <v>44323</v>
      </c>
      <c r="N933" s="24">
        <v>2021</v>
      </c>
    </row>
    <row r="934" spans="1:14">
      <c r="A934" s="24">
        <v>2020</v>
      </c>
      <c r="B934" s="24" t="s">
        <v>136</v>
      </c>
      <c r="C934" s="24" t="s">
        <v>168</v>
      </c>
      <c r="D934" s="24" t="s">
        <v>170</v>
      </c>
      <c r="E934" s="23">
        <v>1</v>
      </c>
      <c r="F934" s="24" t="s">
        <v>211</v>
      </c>
      <c r="G934" s="24" t="s">
        <v>225</v>
      </c>
      <c r="H934" s="23" t="s">
        <v>226</v>
      </c>
      <c r="I934" s="24" t="s">
        <v>226</v>
      </c>
      <c r="J934" s="23" t="s">
        <v>226</v>
      </c>
      <c r="K934" s="24" t="s">
        <v>225</v>
      </c>
      <c r="L934" s="23"/>
      <c r="M934" s="25">
        <v>44323</v>
      </c>
      <c r="N934" s="24">
        <v>2021</v>
      </c>
    </row>
    <row r="935" spans="1:14">
      <c r="A935" s="24">
        <v>2020</v>
      </c>
      <c r="B935" s="24" t="s">
        <v>136</v>
      </c>
      <c r="C935" s="24" t="s">
        <v>137</v>
      </c>
      <c r="D935" s="24" t="s">
        <v>141</v>
      </c>
      <c r="E935" s="23"/>
      <c r="F935" s="24" t="s">
        <v>211</v>
      </c>
      <c r="G935" s="24" t="s">
        <v>225</v>
      </c>
      <c r="H935" s="23" t="s">
        <v>225</v>
      </c>
      <c r="I935" s="24" t="s">
        <v>226</v>
      </c>
      <c r="J935" s="23" t="s">
        <v>226</v>
      </c>
      <c r="K935" s="24" t="s">
        <v>225</v>
      </c>
      <c r="L935" s="23"/>
      <c r="M935" s="25">
        <v>44323</v>
      </c>
      <c r="N935" s="24">
        <v>2021</v>
      </c>
    </row>
    <row r="936" spans="1:14">
      <c r="A936" s="24">
        <v>2020</v>
      </c>
      <c r="B936" s="24" t="s">
        <v>4</v>
      </c>
      <c r="C936" s="24" t="s">
        <v>5</v>
      </c>
      <c r="D936" s="24" t="s">
        <v>10</v>
      </c>
      <c r="E936" s="23">
        <v>5</v>
      </c>
      <c r="F936" s="24" t="s">
        <v>211</v>
      </c>
      <c r="G936" s="24" t="s">
        <v>225</v>
      </c>
      <c r="H936" s="23" t="s">
        <v>226</v>
      </c>
      <c r="I936" s="24" t="s">
        <v>226</v>
      </c>
      <c r="J936" s="23" t="s">
        <v>226</v>
      </c>
      <c r="K936" s="24" t="s">
        <v>225</v>
      </c>
      <c r="L936" s="23"/>
      <c r="M936" s="25">
        <v>44323</v>
      </c>
      <c r="N936" s="24">
        <v>2021</v>
      </c>
    </row>
    <row r="937" spans="1:14">
      <c r="A937" s="24">
        <v>2020</v>
      </c>
      <c r="B937" s="24" t="s">
        <v>4</v>
      </c>
      <c r="C937" s="24" t="s">
        <v>23</v>
      </c>
      <c r="D937" s="24" t="s">
        <v>30</v>
      </c>
      <c r="E937" s="23">
        <v>3</v>
      </c>
      <c r="F937" s="24" t="s">
        <v>211</v>
      </c>
      <c r="G937" s="24" t="s">
        <v>225</v>
      </c>
      <c r="H937" s="23" t="s">
        <v>226</v>
      </c>
      <c r="I937" s="24" t="s">
        <v>225</v>
      </c>
      <c r="J937" s="23" t="s">
        <v>226</v>
      </c>
      <c r="K937" s="24" t="s">
        <v>225</v>
      </c>
      <c r="L937" s="23"/>
      <c r="M937" s="25">
        <v>44323</v>
      </c>
      <c r="N937" s="24">
        <v>2021</v>
      </c>
    </row>
    <row r="938" spans="1:14">
      <c r="A938" s="24">
        <v>2020</v>
      </c>
      <c r="B938" s="24" t="s">
        <v>136</v>
      </c>
      <c r="C938" s="24" t="s">
        <v>685</v>
      </c>
      <c r="D938" s="24" t="s">
        <v>485</v>
      </c>
      <c r="E938" s="23"/>
      <c r="F938" s="24" t="s">
        <v>207</v>
      </c>
      <c r="G938" s="24" t="s">
        <v>225</v>
      </c>
      <c r="H938" s="23" t="s">
        <v>225</v>
      </c>
      <c r="I938" s="24" t="s">
        <v>225</v>
      </c>
      <c r="J938" s="23" t="s">
        <v>226</v>
      </c>
      <c r="K938" s="24" t="s">
        <v>225</v>
      </c>
      <c r="L938" s="23"/>
      <c r="M938" s="26" t="s">
        <v>557</v>
      </c>
      <c r="N938" s="24">
        <v>2021</v>
      </c>
    </row>
    <row r="939" spans="1:14">
      <c r="A939" s="24">
        <v>2020</v>
      </c>
      <c r="B939" s="24" t="s">
        <v>78</v>
      </c>
      <c r="C939" s="24" t="s">
        <v>95</v>
      </c>
      <c r="D939" s="24" t="s">
        <v>102</v>
      </c>
      <c r="E939" s="23">
        <v>20</v>
      </c>
      <c r="F939" s="24" t="s">
        <v>211</v>
      </c>
      <c r="G939" s="24" t="s">
        <v>225</v>
      </c>
      <c r="H939" s="23" t="s">
        <v>226</v>
      </c>
      <c r="I939" s="24" t="s">
        <v>225</v>
      </c>
      <c r="J939" s="23" t="s">
        <v>226</v>
      </c>
      <c r="K939" s="24" t="s">
        <v>225</v>
      </c>
      <c r="L939" s="23"/>
      <c r="M939" s="26" t="s">
        <v>557</v>
      </c>
      <c r="N939" s="24">
        <v>2021</v>
      </c>
    </row>
    <row r="940" spans="1:14">
      <c r="A940" s="24">
        <v>2020</v>
      </c>
      <c r="B940" s="24" t="s">
        <v>78</v>
      </c>
      <c r="C940" s="24" t="s">
        <v>122</v>
      </c>
      <c r="D940" s="24" t="s">
        <v>427</v>
      </c>
      <c r="E940" s="23">
        <v>7</v>
      </c>
      <c r="F940" s="24" t="s">
        <v>211</v>
      </c>
      <c r="G940" s="24" t="s">
        <v>225</v>
      </c>
      <c r="H940" s="23" t="s">
        <v>226</v>
      </c>
      <c r="I940" s="24" t="s">
        <v>226</v>
      </c>
      <c r="J940" s="23" t="s">
        <v>226</v>
      </c>
      <c r="K940" s="24" t="s">
        <v>225</v>
      </c>
      <c r="L940" s="23"/>
      <c r="M940" s="26" t="s">
        <v>558</v>
      </c>
      <c r="N940" s="24">
        <v>2021</v>
      </c>
    </row>
    <row r="941" spans="1:14">
      <c r="A941" s="24">
        <v>2020</v>
      </c>
      <c r="B941" s="24" t="s">
        <v>4</v>
      </c>
      <c r="C941" s="24" t="s">
        <v>18</v>
      </c>
      <c r="D941" s="24" t="s">
        <v>22</v>
      </c>
      <c r="E941" s="23">
        <v>3</v>
      </c>
      <c r="F941" s="24" t="s">
        <v>207</v>
      </c>
      <c r="G941" s="24" t="s">
        <v>225</v>
      </c>
      <c r="H941" s="23" t="s">
        <v>226</v>
      </c>
      <c r="I941" s="24" t="s">
        <v>225</v>
      </c>
      <c r="J941" s="23" t="s">
        <v>226</v>
      </c>
      <c r="K941" s="24" t="s">
        <v>225</v>
      </c>
      <c r="L941" s="23"/>
      <c r="M941" s="26" t="s">
        <v>558</v>
      </c>
      <c r="N941" s="24">
        <v>2021</v>
      </c>
    </row>
    <row r="942" spans="1:14">
      <c r="A942" s="24">
        <v>2020</v>
      </c>
      <c r="B942" s="24" t="s">
        <v>4</v>
      </c>
      <c r="C942" s="24" t="s">
        <v>203</v>
      </c>
      <c r="D942" s="24" t="s">
        <v>40</v>
      </c>
      <c r="E942" s="23"/>
      <c r="F942" s="24" t="s">
        <v>207</v>
      </c>
      <c r="G942" s="24" t="s">
        <v>225</v>
      </c>
      <c r="H942" s="23" t="s">
        <v>225</v>
      </c>
      <c r="I942" s="24" t="s">
        <v>226</v>
      </c>
      <c r="J942" s="23" t="s">
        <v>226</v>
      </c>
      <c r="K942" s="24" t="s">
        <v>225</v>
      </c>
      <c r="L942" s="23"/>
      <c r="M942" s="26" t="s">
        <v>558</v>
      </c>
      <c r="N942" s="24">
        <v>2021</v>
      </c>
    </row>
    <row r="943" spans="1:14">
      <c r="A943" s="24">
        <v>2020</v>
      </c>
      <c r="B943" s="24" t="s">
        <v>78</v>
      </c>
      <c r="C943" s="24" t="s">
        <v>79</v>
      </c>
      <c r="D943" s="24" t="s">
        <v>327</v>
      </c>
      <c r="E943" s="23">
        <v>2</v>
      </c>
      <c r="F943" s="24" t="s">
        <v>211</v>
      </c>
      <c r="G943" s="24" t="s">
        <v>225</v>
      </c>
      <c r="H943" s="23" t="s">
        <v>226</v>
      </c>
      <c r="I943" s="24" t="s">
        <v>226</v>
      </c>
      <c r="J943" s="23" t="s">
        <v>226</v>
      </c>
      <c r="K943" s="24" t="s">
        <v>225</v>
      </c>
      <c r="L943" s="23"/>
      <c r="M943" s="26" t="s">
        <v>559</v>
      </c>
      <c r="N943" s="24">
        <v>2021</v>
      </c>
    </row>
    <row r="944" spans="1:14">
      <c r="A944" s="24">
        <v>2020</v>
      </c>
      <c r="B944" s="24" t="s">
        <v>136</v>
      </c>
      <c r="C944" s="24" t="s">
        <v>171</v>
      </c>
      <c r="D944" s="24" t="s">
        <v>173</v>
      </c>
      <c r="E944" s="23">
        <v>1</v>
      </c>
      <c r="F944" s="24" t="s">
        <v>207</v>
      </c>
      <c r="G944" s="24" t="s">
        <v>225</v>
      </c>
      <c r="H944" s="23" t="s">
        <v>226</v>
      </c>
      <c r="I944" s="24" t="s">
        <v>225</v>
      </c>
      <c r="J944" s="23" t="s">
        <v>226</v>
      </c>
      <c r="K944" s="24" t="s">
        <v>225</v>
      </c>
      <c r="L944" s="23"/>
      <c r="M944" s="26" t="s">
        <v>559</v>
      </c>
      <c r="N944" s="24">
        <v>2021</v>
      </c>
    </row>
    <row r="945" spans="1:14">
      <c r="A945" s="24">
        <v>2020</v>
      </c>
      <c r="B945" s="24" t="s">
        <v>78</v>
      </c>
      <c r="C945" s="24" t="s">
        <v>95</v>
      </c>
      <c r="D945" s="24" t="s">
        <v>101</v>
      </c>
      <c r="E945" s="23">
        <v>1</v>
      </c>
      <c r="F945" s="24" t="s">
        <v>207</v>
      </c>
      <c r="G945" s="24" t="s">
        <v>225</v>
      </c>
      <c r="H945" s="23" t="s">
        <v>226</v>
      </c>
      <c r="I945" s="24" t="s">
        <v>226</v>
      </c>
      <c r="J945" s="23" t="s">
        <v>226</v>
      </c>
      <c r="K945" s="24" t="s">
        <v>225</v>
      </c>
      <c r="L945" s="23"/>
      <c r="M945" s="26" t="s">
        <v>560</v>
      </c>
      <c r="N945" s="24">
        <v>2021</v>
      </c>
    </row>
    <row r="946" spans="1:14">
      <c r="A946" s="24">
        <v>2020</v>
      </c>
      <c r="B946" s="24" t="s">
        <v>4</v>
      </c>
      <c r="C946" s="24" t="s">
        <v>5</v>
      </c>
      <c r="D946" s="24" t="s">
        <v>8</v>
      </c>
      <c r="E946" s="23">
        <v>21</v>
      </c>
      <c r="F946" s="24" t="s">
        <v>211</v>
      </c>
      <c r="G946" s="23" t="s">
        <v>226</v>
      </c>
      <c r="H946" s="23" t="s">
        <v>226</v>
      </c>
      <c r="I946" s="24" t="s">
        <v>226</v>
      </c>
      <c r="J946" s="23" t="s">
        <v>226</v>
      </c>
      <c r="K946" s="24" t="s">
        <v>225</v>
      </c>
      <c r="L946" s="23"/>
      <c r="M946" s="26" t="s">
        <v>560</v>
      </c>
      <c r="N946" s="24">
        <v>2021</v>
      </c>
    </row>
    <row r="947" spans="1:14">
      <c r="A947" s="24">
        <v>2020</v>
      </c>
      <c r="B947" s="24" t="s">
        <v>136</v>
      </c>
      <c r="C947" s="24" t="s">
        <v>137</v>
      </c>
      <c r="D947" s="24" t="s">
        <v>141</v>
      </c>
      <c r="E947" s="23">
        <v>1</v>
      </c>
      <c r="F947" s="24" t="s">
        <v>211</v>
      </c>
      <c r="G947" s="24" t="s">
        <v>225</v>
      </c>
      <c r="H947" s="23" t="s">
        <v>226</v>
      </c>
      <c r="I947" s="24" t="s">
        <v>225</v>
      </c>
      <c r="J947" s="23" t="s">
        <v>226</v>
      </c>
      <c r="K947" s="24" t="s">
        <v>225</v>
      </c>
      <c r="L947" s="23"/>
      <c r="M947" s="26" t="s">
        <v>560</v>
      </c>
      <c r="N947" s="24">
        <v>2021</v>
      </c>
    </row>
    <row r="948" spans="1:14">
      <c r="A948" s="24">
        <v>2020</v>
      </c>
      <c r="B948" s="24" t="s">
        <v>4</v>
      </c>
      <c r="C948" s="24" t="s">
        <v>5</v>
      </c>
      <c r="D948" s="24" t="s">
        <v>10</v>
      </c>
      <c r="E948" s="23"/>
      <c r="F948" s="24" t="s">
        <v>211</v>
      </c>
      <c r="G948" s="24" t="s">
        <v>225</v>
      </c>
      <c r="H948" s="23" t="s">
        <v>225</v>
      </c>
      <c r="I948" s="24" t="s">
        <v>225</v>
      </c>
      <c r="J948" s="23" t="s">
        <v>226</v>
      </c>
      <c r="K948" s="24" t="s">
        <v>225</v>
      </c>
      <c r="L948" s="23"/>
      <c r="M948" s="26" t="s">
        <v>561</v>
      </c>
      <c r="N948" s="24">
        <v>2021</v>
      </c>
    </row>
    <row r="949" spans="1:14">
      <c r="A949" s="24">
        <v>2020</v>
      </c>
      <c r="B949" s="24" t="s">
        <v>78</v>
      </c>
      <c r="C949" s="24" t="s">
        <v>92</v>
      </c>
      <c r="D949" s="24" t="s">
        <v>562</v>
      </c>
      <c r="E949" s="23">
        <v>4</v>
      </c>
      <c r="F949" s="24" t="s">
        <v>207</v>
      </c>
      <c r="G949" s="24" t="s">
        <v>225</v>
      </c>
      <c r="H949" s="23" t="s">
        <v>226</v>
      </c>
      <c r="I949" s="24" t="s">
        <v>226</v>
      </c>
      <c r="J949" s="23" t="s">
        <v>226</v>
      </c>
      <c r="K949" s="24" t="s">
        <v>225</v>
      </c>
      <c r="L949" s="23"/>
      <c r="M949" s="26" t="s">
        <v>561</v>
      </c>
      <c r="N949" s="24">
        <v>2021</v>
      </c>
    </row>
    <row r="950" spans="1:14">
      <c r="A950" s="24">
        <v>2020</v>
      </c>
      <c r="B950" s="24" t="s">
        <v>136</v>
      </c>
      <c r="C950" s="24" t="s">
        <v>189</v>
      </c>
      <c r="D950" s="24" t="s">
        <v>298</v>
      </c>
      <c r="E950" s="23"/>
      <c r="F950" s="24" t="s">
        <v>211</v>
      </c>
      <c r="G950" s="24" t="s">
        <v>225</v>
      </c>
      <c r="H950" s="23" t="s">
        <v>225</v>
      </c>
      <c r="I950" s="24" t="s">
        <v>225</v>
      </c>
      <c r="J950" s="23" t="s">
        <v>226</v>
      </c>
      <c r="K950" s="24" t="s">
        <v>225</v>
      </c>
      <c r="L950" s="23"/>
      <c r="M950" s="26" t="s">
        <v>561</v>
      </c>
      <c r="N950" s="24">
        <v>2021</v>
      </c>
    </row>
    <row r="951" spans="1:14">
      <c r="A951" s="24">
        <v>2020</v>
      </c>
      <c r="B951" s="24" t="s">
        <v>136</v>
      </c>
      <c r="C951" s="24" t="s">
        <v>176</v>
      </c>
      <c r="D951" s="24" t="s">
        <v>181</v>
      </c>
      <c r="E951" s="23">
        <v>2</v>
      </c>
      <c r="F951" s="24" t="s">
        <v>207</v>
      </c>
      <c r="G951" s="24" t="s">
        <v>225</v>
      </c>
      <c r="H951" s="23" t="s">
        <v>226</v>
      </c>
      <c r="I951" s="24" t="s">
        <v>226</v>
      </c>
      <c r="J951" s="23" t="s">
        <v>226</v>
      </c>
      <c r="K951" s="24" t="s">
        <v>225</v>
      </c>
      <c r="L951" s="23"/>
      <c r="M951" s="26" t="s">
        <v>561</v>
      </c>
      <c r="N951" s="24">
        <v>2021</v>
      </c>
    </row>
    <row r="952" spans="1:14">
      <c r="A952" s="24">
        <v>2020</v>
      </c>
      <c r="B952" s="24" t="s">
        <v>136</v>
      </c>
      <c r="C952" s="24" t="s">
        <v>189</v>
      </c>
      <c r="D952" s="24" t="s">
        <v>563</v>
      </c>
      <c r="E952" s="23"/>
      <c r="F952" s="24" t="s">
        <v>211</v>
      </c>
      <c r="G952" s="24" t="s">
        <v>225</v>
      </c>
      <c r="H952" s="23" t="s">
        <v>225</v>
      </c>
      <c r="I952" s="24" t="s">
        <v>226</v>
      </c>
      <c r="J952" s="23" t="s">
        <v>226</v>
      </c>
      <c r="K952" s="24" t="s">
        <v>225</v>
      </c>
      <c r="L952" s="23"/>
      <c r="M952" s="26" t="s">
        <v>564</v>
      </c>
      <c r="N952" s="24">
        <v>2021</v>
      </c>
    </row>
    <row r="953" spans="1:14">
      <c r="A953" s="24">
        <v>2020</v>
      </c>
      <c r="B953" s="24" t="s">
        <v>4</v>
      </c>
      <c r="C953" s="24" t="s">
        <v>18</v>
      </c>
      <c r="D953" s="24" t="s">
        <v>22</v>
      </c>
      <c r="E953" s="23">
        <v>2</v>
      </c>
      <c r="F953" s="24" t="s">
        <v>211</v>
      </c>
      <c r="G953" s="24" t="s">
        <v>225</v>
      </c>
      <c r="H953" s="23" t="s">
        <v>226</v>
      </c>
      <c r="I953" s="24" t="s">
        <v>225</v>
      </c>
      <c r="J953" s="23" t="s">
        <v>226</v>
      </c>
      <c r="K953" s="24" t="s">
        <v>225</v>
      </c>
      <c r="L953" s="23"/>
      <c r="M953" s="26" t="s">
        <v>564</v>
      </c>
      <c r="N953" s="24">
        <v>2021</v>
      </c>
    </row>
    <row r="954" spans="1:14">
      <c r="A954" s="24">
        <v>2020</v>
      </c>
      <c r="B954" s="24" t="s">
        <v>136</v>
      </c>
      <c r="C954" s="24" t="s">
        <v>176</v>
      </c>
      <c r="D954" s="24" t="s">
        <v>177</v>
      </c>
      <c r="E954" s="23"/>
      <c r="F954" s="24" t="s">
        <v>207</v>
      </c>
      <c r="G954" s="24" t="s">
        <v>225</v>
      </c>
      <c r="H954" s="23" t="s">
        <v>225</v>
      </c>
      <c r="I954" s="24" t="s">
        <v>225</v>
      </c>
      <c r="J954" s="23" t="s">
        <v>226</v>
      </c>
      <c r="K954" s="24" t="s">
        <v>225</v>
      </c>
      <c r="L954" s="23"/>
      <c r="M954" s="26" t="s">
        <v>565</v>
      </c>
      <c r="N954" s="24">
        <v>2021</v>
      </c>
    </row>
    <row r="955" spans="1:14">
      <c r="A955" s="24">
        <v>2020</v>
      </c>
      <c r="B955" s="24" t="s">
        <v>4</v>
      </c>
      <c r="C955" s="24" t="s">
        <v>5</v>
      </c>
      <c r="D955" s="24" t="s">
        <v>10</v>
      </c>
      <c r="E955" s="23"/>
      <c r="F955" s="24" t="s">
        <v>207</v>
      </c>
      <c r="G955" s="24" t="s">
        <v>225</v>
      </c>
      <c r="H955" s="23" t="s">
        <v>225</v>
      </c>
      <c r="I955" s="24" t="s">
        <v>225</v>
      </c>
      <c r="J955" s="23" t="s">
        <v>226</v>
      </c>
      <c r="K955" s="24" t="s">
        <v>225</v>
      </c>
      <c r="L955" s="23"/>
      <c r="M955" s="26" t="s">
        <v>565</v>
      </c>
      <c r="N955" s="24">
        <v>2021</v>
      </c>
    </row>
    <row r="956" spans="1:14">
      <c r="A956" s="24">
        <v>2020</v>
      </c>
      <c r="B956" s="24" t="s">
        <v>136</v>
      </c>
      <c r="C956" s="24" t="s">
        <v>168</v>
      </c>
      <c r="D956" s="24" t="s">
        <v>170</v>
      </c>
      <c r="E956" s="23"/>
      <c r="F956" s="24" t="s">
        <v>207</v>
      </c>
      <c r="G956" s="24" t="s">
        <v>225</v>
      </c>
      <c r="H956" s="23" t="s">
        <v>225</v>
      </c>
      <c r="I956" s="24" t="s">
        <v>225</v>
      </c>
      <c r="J956" s="23" t="s">
        <v>226</v>
      </c>
      <c r="K956" s="24" t="s">
        <v>225</v>
      </c>
      <c r="L956" s="23"/>
      <c r="M956" s="26" t="s">
        <v>565</v>
      </c>
      <c r="N956" s="24">
        <v>2021</v>
      </c>
    </row>
    <row r="957" spans="1:14">
      <c r="A957" s="24">
        <v>2020</v>
      </c>
      <c r="B957" s="24" t="s">
        <v>4</v>
      </c>
      <c r="C957" s="24" t="s">
        <v>5</v>
      </c>
      <c r="D957" s="24" t="s">
        <v>7</v>
      </c>
      <c r="E957" s="23">
        <v>11</v>
      </c>
      <c r="F957" s="24" t="s">
        <v>207</v>
      </c>
      <c r="G957" s="24" t="s">
        <v>225</v>
      </c>
      <c r="H957" s="23" t="s">
        <v>226</v>
      </c>
      <c r="I957" s="24" t="s">
        <v>226</v>
      </c>
      <c r="J957" s="23" t="s">
        <v>226</v>
      </c>
      <c r="K957" s="24" t="s">
        <v>225</v>
      </c>
      <c r="L957" s="23"/>
      <c r="M957" s="26" t="s">
        <v>565</v>
      </c>
      <c r="N957" s="24">
        <v>2021</v>
      </c>
    </row>
    <row r="958" spans="1:14">
      <c r="A958" s="24">
        <v>2020</v>
      </c>
      <c r="B958" s="24" t="s">
        <v>78</v>
      </c>
      <c r="C958" s="24" t="s">
        <v>79</v>
      </c>
      <c r="D958" s="24" t="s">
        <v>53</v>
      </c>
      <c r="E958" s="23">
        <v>3</v>
      </c>
      <c r="F958" s="24" t="s">
        <v>207</v>
      </c>
      <c r="G958" s="24" t="s">
        <v>225</v>
      </c>
      <c r="H958" s="23" t="s">
        <v>226</v>
      </c>
      <c r="I958" s="24" t="s">
        <v>225</v>
      </c>
      <c r="J958" s="23" t="s">
        <v>226</v>
      </c>
      <c r="K958" s="24" t="s">
        <v>225</v>
      </c>
      <c r="L958" s="23"/>
      <c r="M958" s="26" t="s">
        <v>566</v>
      </c>
      <c r="N958" s="24">
        <v>2021</v>
      </c>
    </row>
    <row r="959" spans="1:14">
      <c r="A959" s="24">
        <v>2020</v>
      </c>
      <c r="B959" s="24" t="s">
        <v>4</v>
      </c>
      <c r="C959" s="24" t="s">
        <v>5</v>
      </c>
      <c r="D959" s="24" t="s">
        <v>8</v>
      </c>
      <c r="E959" s="23">
        <v>6</v>
      </c>
      <c r="F959" s="24" t="s">
        <v>207</v>
      </c>
      <c r="G959" s="24" t="s">
        <v>225</v>
      </c>
      <c r="H959" s="23" t="s">
        <v>226</v>
      </c>
      <c r="I959" s="24" t="s">
        <v>225</v>
      </c>
      <c r="J959" s="23" t="s">
        <v>226</v>
      </c>
      <c r="K959" s="24" t="s">
        <v>225</v>
      </c>
      <c r="L959" s="23"/>
      <c r="M959" s="26" t="s">
        <v>566</v>
      </c>
      <c r="N959" s="24">
        <v>2021</v>
      </c>
    </row>
    <row r="960" spans="1:14">
      <c r="A960" s="24">
        <v>2020</v>
      </c>
      <c r="B960" s="24" t="s">
        <v>4</v>
      </c>
      <c r="C960" s="24" t="s">
        <v>203</v>
      </c>
      <c r="D960" s="24" t="s">
        <v>204</v>
      </c>
      <c r="E960" s="23">
        <v>10</v>
      </c>
      <c r="F960" s="24" t="s">
        <v>211</v>
      </c>
      <c r="G960" s="24" t="s">
        <v>225</v>
      </c>
      <c r="H960" s="23" t="s">
        <v>226</v>
      </c>
      <c r="I960" s="24" t="s">
        <v>226</v>
      </c>
      <c r="J960" s="23" t="s">
        <v>226</v>
      </c>
      <c r="K960" s="24" t="s">
        <v>225</v>
      </c>
      <c r="L960" s="23"/>
      <c r="M960" s="26" t="s">
        <v>566</v>
      </c>
      <c r="N960" s="24">
        <v>2021</v>
      </c>
    </row>
    <row r="961" spans="1:14">
      <c r="A961" s="24">
        <v>2020</v>
      </c>
      <c r="B961" s="24" t="s">
        <v>4</v>
      </c>
      <c r="C961" s="24" t="s">
        <v>5</v>
      </c>
      <c r="D961" s="24" t="s">
        <v>6</v>
      </c>
      <c r="E961" s="23">
        <v>1</v>
      </c>
      <c r="F961" s="24" t="s">
        <v>207</v>
      </c>
      <c r="G961" s="24" t="s">
        <v>225</v>
      </c>
      <c r="H961" s="23" t="s">
        <v>226</v>
      </c>
      <c r="I961" s="24" t="s">
        <v>225</v>
      </c>
      <c r="J961" s="23" t="s">
        <v>226</v>
      </c>
      <c r="K961" s="24" t="s">
        <v>225</v>
      </c>
      <c r="L961" s="23"/>
      <c r="M961" s="26" t="s">
        <v>566</v>
      </c>
      <c r="N961" s="24">
        <v>2021</v>
      </c>
    </row>
    <row r="962" spans="1:14">
      <c r="A962" s="24">
        <v>2020</v>
      </c>
      <c r="B962" s="24" t="s">
        <v>4</v>
      </c>
      <c r="C962" s="24" t="s">
        <v>5</v>
      </c>
      <c r="D962" s="24" t="s">
        <v>7</v>
      </c>
      <c r="E962" s="23">
        <v>18</v>
      </c>
      <c r="F962" s="24" t="s">
        <v>207</v>
      </c>
      <c r="G962" s="24" t="s">
        <v>225</v>
      </c>
      <c r="H962" s="23" t="s">
        <v>226</v>
      </c>
      <c r="I962" s="24" t="s">
        <v>226</v>
      </c>
      <c r="J962" s="23" t="s">
        <v>226</v>
      </c>
      <c r="K962" s="24" t="s">
        <v>225</v>
      </c>
      <c r="L962" s="23"/>
      <c r="M962" s="26" t="s">
        <v>566</v>
      </c>
      <c r="N962" s="24">
        <v>2021</v>
      </c>
    </row>
    <row r="963" spans="1:14">
      <c r="A963" s="24">
        <v>2020</v>
      </c>
      <c r="B963" s="24" t="s">
        <v>136</v>
      </c>
      <c r="C963" s="24" t="s">
        <v>152</v>
      </c>
      <c r="D963" s="24" t="s">
        <v>157</v>
      </c>
      <c r="E963" s="23"/>
      <c r="F963" s="24" t="s">
        <v>211</v>
      </c>
      <c r="G963" s="24" t="s">
        <v>225</v>
      </c>
      <c r="H963" s="23" t="s">
        <v>225</v>
      </c>
      <c r="I963" s="24" t="s">
        <v>226</v>
      </c>
      <c r="J963" s="23" t="s">
        <v>226</v>
      </c>
      <c r="K963" s="24" t="s">
        <v>225</v>
      </c>
      <c r="L963" s="23"/>
      <c r="M963" s="26" t="s">
        <v>566</v>
      </c>
      <c r="N963" s="24">
        <v>2021</v>
      </c>
    </row>
    <row r="964" spans="1:14">
      <c r="A964" s="24">
        <v>2020</v>
      </c>
      <c r="B964" s="24" t="s">
        <v>78</v>
      </c>
      <c r="C964" s="24" t="s">
        <v>103</v>
      </c>
      <c r="D964" s="24" t="s">
        <v>108</v>
      </c>
      <c r="E964" s="23"/>
      <c r="F964" s="24" t="s">
        <v>207</v>
      </c>
      <c r="G964" s="24" t="s">
        <v>225</v>
      </c>
      <c r="H964" s="23" t="s">
        <v>225</v>
      </c>
      <c r="I964" s="24" t="s">
        <v>226</v>
      </c>
      <c r="J964" s="23" t="s">
        <v>226</v>
      </c>
      <c r="K964" s="24" t="s">
        <v>225</v>
      </c>
      <c r="L964" s="23"/>
      <c r="M964" s="26" t="s">
        <v>567</v>
      </c>
      <c r="N964" s="24">
        <v>2021</v>
      </c>
    </row>
    <row r="965" spans="1:14">
      <c r="A965" s="24">
        <v>2020</v>
      </c>
      <c r="B965" s="24" t="s">
        <v>136</v>
      </c>
      <c r="C965" s="24" t="s">
        <v>137</v>
      </c>
      <c r="D965" s="24" t="s">
        <v>141</v>
      </c>
      <c r="E965" s="23">
        <v>1</v>
      </c>
      <c r="F965" s="24" t="s">
        <v>207</v>
      </c>
      <c r="G965" s="24" t="s">
        <v>225</v>
      </c>
      <c r="H965" s="23" t="s">
        <v>226</v>
      </c>
      <c r="I965" s="24" t="s">
        <v>225</v>
      </c>
      <c r="J965" s="23" t="s">
        <v>226</v>
      </c>
      <c r="K965" s="24" t="s">
        <v>225</v>
      </c>
      <c r="L965" s="23"/>
      <c r="M965" s="25">
        <v>44351</v>
      </c>
      <c r="N965" s="24">
        <v>2021</v>
      </c>
    </row>
    <row r="966" spans="1:14">
      <c r="A966" s="24">
        <v>2020</v>
      </c>
      <c r="B966" s="24" t="s">
        <v>136</v>
      </c>
      <c r="C966" s="24" t="s">
        <v>176</v>
      </c>
      <c r="D966" s="24" t="s">
        <v>178</v>
      </c>
      <c r="E966" s="23">
        <v>1</v>
      </c>
      <c r="F966" s="24" t="s">
        <v>211</v>
      </c>
      <c r="G966" s="24" t="s">
        <v>225</v>
      </c>
      <c r="H966" s="23" t="s">
        <v>226</v>
      </c>
      <c r="I966" s="24" t="s">
        <v>225</v>
      </c>
      <c r="J966" s="23" t="s">
        <v>226</v>
      </c>
      <c r="K966" s="24" t="s">
        <v>225</v>
      </c>
      <c r="L966" s="23"/>
      <c r="M966" s="25">
        <v>44352</v>
      </c>
      <c r="N966" s="24">
        <v>2021</v>
      </c>
    </row>
    <row r="967" spans="1:14">
      <c r="A967" s="24">
        <v>2020</v>
      </c>
      <c r="B967" s="24" t="s">
        <v>136</v>
      </c>
      <c r="C967" s="24" t="s">
        <v>176</v>
      </c>
      <c r="D967" s="24" t="s">
        <v>179</v>
      </c>
      <c r="E967" s="23"/>
      <c r="F967" s="24" t="s">
        <v>211</v>
      </c>
      <c r="G967" s="24" t="s">
        <v>225</v>
      </c>
      <c r="H967" s="23" t="s">
        <v>225</v>
      </c>
      <c r="I967" s="24" t="s">
        <v>225</v>
      </c>
      <c r="J967" s="23" t="s">
        <v>226</v>
      </c>
      <c r="K967" s="24" t="s">
        <v>225</v>
      </c>
      <c r="L967" s="23"/>
      <c r="M967" s="26" t="s">
        <v>568</v>
      </c>
      <c r="N967" s="24">
        <v>2021</v>
      </c>
    </row>
    <row r="968" spans="1:14">
      <c r="A968" s="24">
        <v>2020</v>
      </c>
      <c r="B968" s="24" t="s">
        <v>136</v>
      </c>
      <c r="C968" s="24" t="s">
        <v>176</v>
      </c>
      <c r="D968" s="24" t="s">
        <v>177</v>
      </c>
      <c r="E968" s="23">
        <v>1</v>
      </c>
      <c r="F968" s="24" t="s">
        <v>211</v>
      </c>
      <c r="G968" s="24" t="s">
        <v>225</v>
      </c>
      <c r="H968" s="23" t="s">
        <v>226</v>
      </c>
      <c r="I968" s="24" t="s">
        <v>226</v>
      </c>
      <c r="J968" s="23" t="s">
        <v>226</v>
      </c>
      <c r="K968" s="24" t="s">
        <v>225</v>
      </c>
      <c r="L968" s="23"/>
      <c r="M968" s="26" t="s">
        <v>568</v>
      </c>
      <c r="N968" s="24">
        <v>2021</v>
      </c>
    </row>
    <row r="969" spans="1:14">
      <c r="A969" s="24">
        <v>2020</v>
      </c>
      <c r="B969" s="24" t="s">
        <v>4</v>
      </c>
      <c r="C969" s="24" t="s">
        <v>23</v>
      </c>
      <c r="D969" s="24" t="s">
        <v>27</v>
      </c>
      <c r="E969" s="23">
        <v>17</v>
      </c>
      <c r="F969" s="24" t="s">
        <v>207</v>
      </c>
      <c r="G969" s="24" t="s">
        <v>225</v>
      </c>
      <c r="H969" s="23" t="s">
        <v>226</v>
      </c>
      <c r="I969" s="24" t="s">
        <v>225</v>
      </c>
      <c r="J969" s="23" t="s">
        <v>226</v>
      </c>
      <c r="K969" s="24" t="s">
        <v>225</v>
      </c>
      <c r="L969" s="23"/>
      <c r="M969" s="26" t="s">
        <v>569</v>
      </c>
      <c r="N969" s="24">
        <v>2021</v>
      </c>
    </row>
    <row r="970" spans="1:14">
      <c r="A970" s="24">
        <v>2020</v>
      </c>
      <c r="B970" s="24" t="s">
        <v>4</v>
      </c>
      <c r="C970" s="24" t="s">
        <v>203</v>
      </c>
      <c r="D970" s="24" t="s">
        <v>40</v>
      </c>
      <c r="E970" s="23">
        <v>5</v>
      </c>
      <c r="F970" s="24" t="s">
        <v>211</v>
      </c>
      <c r="G970" s="24" t="s">
        <v>225</v>
      </c>
      <c r="H970" s="23" t="s">
        <v>226</v>
      </c>
      <c r="I970" s="24" t="s">
        <v>225</v>
      </c>
      <c r="J970" s="23" t="s">
        <v>226</v>
      </c>
      <c r="K970" s="24" t="s">
        <v>225</v>
      </c>
      <c r="L970" s="23"/>
      <c r="M970" s="26" t="s">
        <v>569</v>
      </c>
      <c r="N970" s="24">
        <v>2021</v>
      </c>
    </row>
    <row r="971" spans="1:14">
      <c r="A971" s="24">
        <v>2020</v>
      </c>
      <c r="B971" s="24" t="s">
        <v>136</v>
      </c>
      <c r="C971" s="24" t="s">
        <v>146</v>
      </c>
      <c r="D971" s="24" t="s">
        <v>150</v>
      </c>
      <c r="E971" s="23"/>
      <c r="F971" s="24" t="s">
        <v>211</v>
      </c>
      <c r="G971" s="24" t="s">
        <v>225</v>
      </c>
      <c r="H971" s="23" t="s">
        <v>225</v>
      </c>
      <c r="I971" s="24" t="s">
        <v>225</v>
      </c>
      <c r="J971" s="23" t="s">
        <v>226</v>
      </c>
      <c r="K971" s="24" t="s">
        <v>225</v>
      </c>
      <c r="L971" s="23"/>
      <c r="M971" s="26" t="s">
        <v>569</v>
      </c>
      <c r="N971" s="24">
        <v>2021</v>
      </c>
    </row>
    <row r="972" spans="1:14">
      <c r="A972" s="24">
        <v>2020</v>
      </c>
      <c r="B972" s="24" t="s">
        <v>136</v>
      </c>
      <c r="C972" s="24" t="s">
        <v>160</v>
      </c>
      <c r="D972" s="24" t="s">
        <v>306</v>
      </c>
      <c r="E972" s="23">
        <v>10</v>
      </c>
      <c r="F972" s="24" t="s">
        <v>207</v>
      </c>
      <c r="G972" s="24" t="s">
        <v>225</v>
      </c>
      <c r="H972" s="23" t="s">
        <v>226</v>
      </c>
      <c r="I972" s="24" t="s">
        <v>226</v>
      </c>
      <c r="J972" s="23" t="s">
        <v>226</v>
      </c>
      <c r="K972" s="24" t="s">
        <v>225</v>
      </c>
      <c r="L972" s="23"/>
      <c r="M972" s="26" t="s">
        <v>569</v>
      </c>
      <c r="N972" s="24">
        <v>2021</v>
      </c>
    </row>
    <row r="973" spans="1:14">
      <c r="A973" s="24">
        <v>2020</v>
      </c>
      <c r="B973" s="24" t="s">
        <v>4</v>
      </c>
      <c r="C973" s="24" t="s">
        <v>23</v>
      </c>
      <c r="D973" s="24" t="s">
        <v>25</v>
      </c>
      <c r="E973" s="23">
        <v>1</v>
      </c>
      <c r="F973" s="24" t="s">
        <v>207</v>
      </c>
      <c r="G973" s="24" t="s">
        <v>225</v>
      </c>
      <c r="H973" s="23" t="s">
        <v>226</v>
      </c>
      <c r="I973" s="24" t="s">
        <v>225</v>
      </c>
      <c r="J973" s="23" t="s">
        <v>226</v>
      </c>
      <c r="K973" s="24" t="s">
        <v>225</v>
      </c>
      <c r="L973" s="23"/>
      <c r="M973" s="26" t="s">
        <v>569</v>
      </c>
      <c r="N973" s="24">
        <v>2021</v>
      </c>
    </row>
    <row r="974" spans="1:14">
      <c r="A974" s="24">
        <v>2020</v>
      </c>
      <c r="B974" s="24" t="s">
        <v>136</v>
      </c>
      <c r="C974" s="24" t="s">
        <v>137</v>
      </c>
      <c r="D974" s="24" t="s">
        <v>138</v>
      </c>
      <c r="E974" s="23">
        <v>4</v>
      </c>
      <c r="F974" s="24" t="s">
        <v>207</v>
      </c>
      <c r="G974" s="24" t="s">
        <v>225</v>
      </c>
      <c r="H974" s="23" t="s">
        <v>226</v>
      </c>
      <c r="I974" s="24" t="s">
        <v>225</v>
      </c>
      <c r="J974" s="23" t="s">
        <v>226</v>
      </c>
      <c r="K974" s="24" t="s">
        <v>225</v>
      </c>
      <c r="L974" s="23"/>
      <c r="M974" s="26" t="s">
        <v>570</v>
      </c>
      <c r="N974" s="24">
        <v>2021</v>
      </c>
    </row>
    <row r="975" spans="1:14">
      <c r="A975" s="24">
        <v>2020</v>
      </c>
      <c r="B975" s="24" t="s">
        <v>4</v>
      </c>
      <c r="C975" s="24" t="s">
        <v>203</v>
      </c>
      <c r="D975" s="24" t="s">
        <v>42</v>
      </c>
      <c r="E975" s="23">
        <v>8</v>
      </c>
      <c r="F975" s="24" t="s">
        <v>207</v>
      </c>
      <c r="G975" s="24" t="s">
        <v>225</v>
      </c>
      <c r="H975" s="23" t="s">
        <v>226</v>
      </c>
      <c r="I975" s="24" t="s">
        <v>226</v>
      </c>
      <c r="J975" s="23" t="s">
        <v>226</v>
      </c>
      <c r="K975" s="24" t="s">
        <v>225</v>
      </c>
      <c r="L975" s="23"/>
      <c r="M975" s="26" t="s">
        <v>570</v>
      </c>
      <c r="N975" s="24">
        <v>2021</v>
      </c>
    </row>
    <row r="976" spans="1:14">
      <c r="A976" s="24">
        <v>2020</v>
      </c>
      <c r="B976" s="24" t="s">
        <v>136</v>
      </c>
      <c r="C976" s="24" t="s">
        <v>685</v>
      </c>
      <c r="D976" s="24" t="s">
        <v>485</v>
      </c>
      <c r="E976" s="23">
        <v>5</v>
      </c>
      <c r="F976" s="24" t="s">
        <v>211</v>
      </c>
      <c r="G976" s="24" t="s">
        <v>225</v>
      </c>
      <c r="H976" s="23" t="s">
        <v>226</v>
      </c>
      <c r="I976" s="24" t="s">
        <v>226</v>
      </c>
      <c r="J976" s="23" t="s">
        <v>226</v>
      </c>
      <c r="K976" s="24" t="s">
        <v>225</v>
      </c>
      <c r="L976" s="23"/>
      <c r="M976" s="26" t="s">
        <v>570</v>
      </c>
      <c r="N976" s="24">
        <v>2021</v>
      </c>
    </row>
    <row r="977" spans="1:14">
      <c r="A977" s="24">
        <v>2020</v>
      </c>
      <c r="B977" s="24" t="s">
        <v>4</v>
      </c>
      <c r="C977" s="24" t="s">
        <v>23</v>
      </c>
      <c r="D977" s="24" t="s">
        <v>24</v>
      </c>
      <c r="E977" s="23">
        <v>8</v>
      </c>
      <c r="F977" s="24" t="s">
        <v>211</v>
      </c>
      <c r="G977" s="24" t="s">
        <v>225</v>
      </c>
      <c r="H977" s="23" t="s">
        <v>226</v>
      </c>
      <c r="I977" s="24" t="s">
        <v>225</v>
      </c>
      <c r="J977" s="23" t="s">
        <v>226</v>
      </c>
      <c r="K977" s="24" t="s">
        <v>225</v>
      </c>
      <c r="L977" s="23"/>
      <c r="M977" s="26" t="s">
        <v>570</v>
      </c>
      <c r="N977" s="24">
        <v>2021</v>
      </c>
    </row>
    <row r="978" spans="1:14">
      <c r="A978" s="24">
        <v>2020</v>
      </c>
      <c r="B978" s="24" t="s">
        <v>78</v>
      </c>
      <c r="C978" s="24" t="s">
        <v>683</v>
      </c>
      <c r="D978" s="24" t="s">
        <v>332</v>
      </c>
      <c r="E978" s="23">
        <v>10</v>
      </c>
      <c r="F978" s="24" t="s">
        <v>211</v>
      </c>
      <c r="G978" s="24" t="s">
        <v>225</v>
      </c>
      <c r="H978" s="23" t="s">
        <v>226</v>
      </c>
      <c r="I978" s="24" t="s">
        <v>225</v>
      </c>
      <c r="J978" s="23" t="s">
        <v>226</v>
      </c>
      <c r="K978" s="24" t="s">
        <v>225</v>
      </c>
      <c r="L978" s="23"/>
      <c r="M978" s="26" t="s">
        <v>570</v>
      </c>
      <c r="N978" s="24">
        <v>2021</v>
      </c>
    </row>
    <row r="979" spans="1:14">
      <c r="A979" s="24">
        <v>2020</v>
      </c>
      <c r="B979" s="24" t="s">
        <v>136</v>
      </c>
      <c r="C979" s="24" t="s">
        <v>176</v>
      </c>
      <c r="D979" s="24" t="s">
        <v>184</v>
      </c>
      <c r="E979" s="23">
        <v>1</v>
      </c>
      <c r="F979" s="24" t="s">
        <v>211</v>
      </c>
      <c r="G979" s="24" t="s">
        <v>225</v>
      </c>
      <c r="H979" s="23" t="s">
        <v>226</v>
      </c>
      <c r="I979" s="24" t="s">
        <v>225</v>
      </c>
      <c r="J979" s="23" t="s">
        <v>226</v>
      </c>
      <c r="K979" s="24" t="s">
        <v>225</v>
      </c>
      <c r="L979" s="23"/>
      <c r="M979" s="26" t="s">
        <v>571</v>
      </c>
      <c r="N979" s="24">
        <v>2021</v>
      </c>
    </row>
    <row r="980" spans="1:14">
      <c r="A980" s="24">
        <v>2020</v>
      </c>
      <c r="B980" s="24" t="s">
        <v>4</v>
      </c>
      <c r="C980" s="24" t="s">
        <v>18</v>
      </c>
      <c r="D980" s="24" t="s">
        <v>20</v>
      </c>
      <c r="E980" s="23">
        <v>3</v>
      </c>
      <c r="F980" s="24" t="s">
        <v>211</v>
      </c>
      <c r="G980" s="24" t="s">
        <v>225</v>
      </c>
      <c r="H980" s="23" t="s">
        <v>226</v>
      </c>
      <c r="I980" s="24" t="s">
        <v>226</v>
      </c>
      <c r="J980" s="23" t="s">
        <v>226</v>
      </c>
      <c r="K980" s="24" t="s">
        <v>225</v>
      </c>
      <c r="L980" s="23"/>
      <c r="M980" s="26" t="s">
        <v>571</v>
      </c>
      <c r="N980" s="24">
        <v>2021</v>
      </c>
    </row>
    <row r="981" spans="1:14">
      <c r="A981" s="24">
        <v>2020</v>
      </c>
      <c r="B981" s="24" t="s">
        <v>136</v>
      </c>
      <c r="C981" s="24" t="s">
        <v>685</v>
      </c>
      <c r="D981" s="24" t="s">
        <v>485</v>
      </c>
      <c r="E981" s="23">
        <v>2</v>
      </c>
      <c r="F981" s="24" t="s">
        <v>211</v>
      </c>
      <c r="G981" s="24" t="s">
        <v>225</v>
      </c>
      <c r="H981" s="23" t="s">
        <v>226</v>
      </c>
      <c r="I981" s="24" t="s">
        <v>226</v>
      </c>
      <c r="J981" s="23" t="s">
        <v>226</v>
      </c>
      <c r="K981" s="24" t="s">
        <v>225</v>
      </c>
      <c r="L981" s="23"/>
      <c r="M981" s="26" t="s">
        <v>572</v>
      </c>
      <c r="N981" s="24">
        <v>2021</v>
      </c>
    </row>
    <row r="982" spans="1:14">
      <c r="A982" s="24">
        <v>2020</v>
      </c>
      <c r="B982" s="24" t="s">
        <v>4</v>
      </c>
      <c r="C982" s="24" t="s">
        <v>5</v>
      </c>
      <c r="D982" s="24" t="s">
        <v>7</v>
      </c>
      <c r="E982" s="23">
        <v>4</v>
      </c>
      <c r="F982" s="24" t="s">
        <v>207</v>
      </c>
      <c r="G982" s="24" t="s">
        <v>225</v>
      </c>
      <c r="H982" s="23" t="s">
        <v>226</v>
      </c>
      <c r="I982" s="24" t="s">
        <v>226</v>
      </c>
      <c r="J982" s="23" t="s">
        <v>226</v>
      </c>
      <c r="K982" s="24" t="s">
        <v>225</v>
      </c>
      <c r="L982" s="23"/>
      <c r="M982" s="26" t="s">
        <v>572</v>
      </c>
      <c r="N982" s="24">
        <v>2021</v>
      </c>
    </row>
    <row r="983" spans="1:14">
      <c r="A983" s="24">
        <v>2020</v>
      </c>
      <c r="B983" s="24" t="s">
        <v>4</v>
      </c>
      <c r="C983" s="24" t="s">
        <v>23</v>
      </c>
      <c r="D983" s="24" t="s">
        <v>29</v>
      </c>
      <c r="E983" s="23">
        <v>35</v>
      </c>
      <c r="F983" s="24" t="s">
        <v>207</v>
      </c>
      <c r="G983" s="24" t="s">
        <v>225</v>
      </c>
      <c r="H983" s="23" t="s">
        <v>226</v>
      </c>
      <c r="I983" s="24" t="s">
        <v>226</v>
      </c>
      <c r="J983" s="23" t="s">
        <v>226</v>
      </c>
      <c r="K983" s="24" t="s">
        <v>225</v>
      </c>
      <c r="L983" s="23"/>
      <c r="M983" s="26" t="s">
        <v>572</v>
      </c>
      <c r="N983" s="24">
        <v>2021</v>
      </c>
    </row>
    <row r="984" spans="1:14">
      <c r="A984" s="24">
        <v>2020</v>
      </c>
      <c r="B984" s="24" t="s">
        <v>136</v>
      </c>
      <c r="C984" s="24" t="s">
        <v>685</v>
      </c>
      <c r="D984" s="24" t="s">
        <v>485</v>
      </c>
      <c r="E984" s="23">
        <v>1</v>
      </c>
      <c r="F984" s="24" t="s">
        <v>211</v>
      </c>
      <c r="G984" s="24" t="s">
        <v>225</v>
      </c>
      <c r="H984" s="23" t="s">
        <v>226</v>
      </c>
      <c r="I984" s="24" t="s">
        <v>226</v>
      </c>
      <c r="J984" s="23" t="s">
        <v>226</v>
      </c>
      <c r="K984" s="24" t="s">
        <v>225</v>
      </c>
      <c r="L984" s="23"/>
      <c r="M984" s="26" t="s">
        <v>573</v>
      </c>
      <c r="N984" s="24">
        <v>2021</v>
      </c>
    </row>
    <row r="985" spans="1:14">
      <c r="A985" s="24">
        <v>2020</v>
      </c>
      <c r="B985" s="24" t="s">
        <v>4</v>
      </c>
      <c r="C985" s="24" t="s">
        <v>31</v>
      </c>
      <c r="D985" s="24" t="s">
        <v>32</v>
      </c>
      <c r="E985" s="23">
        <v>1</v>
      </c>
      <c r="F985" s="24" t="s">
        <v>207</v>
      </c>
      <c r="G985" s="24" t="s">
        <v>225</v>
      </c>
      <c r="H985" s="23" t="s">
        <v>226</v>
      </c>
      <c r="I985" s="24" t="s">
        <v>225</v>
      </c>
      <c r="J985" s="23" t="s">
        <v>226</v>
      </c>
      <c r="K985" s="24" t="s">
        <v>225</v>
      </c>
      <c r="L985" s="23"/>
      <c r="M985" s="26" t="s">
        <v>573</v>
      </c>
      <c r="N985" s="24">
        <v>2021</v>
      </c>
    </row>
    <row r="986" spans="1:14">
      <c r="A986" s="24">
        <v>2020</v>
      </c>
      <c r="B986" s="24" t="s">
        <v>136</v>
      </c>
      <c r="C986" s="24" t="s">
        <v>168</v>
      </c>
      <c r="D986" s="24" t="s">
        <v>170</v>
      </c>
      <c r="E986" s="23">
        <v>1</v>
      </c>
      <c r="F986" s="24" t="s">
        <v>211</v>
      </c>
      <c r="G986" s="24" t="s">
        <v>225</v>
      </c>
      <c r="H986" s="23" t="s">
        <v>226</v>
      </c>
      <c r="I986" s="24" t="s">
        <v>226</v>
      </c>
      <c r="J986" s="23" t="s">
        <v>226</v>
      </c>
      <c r="K986" s="24" t="s">
        <v>225</v>
      </c>
      <c r="L986" s="23"/>
      <c r="M986" s="26" t="s">
        <v>573</v>
      </c>
      <c r="N986" s="24">
        <v>2021</v>
      </c>
    </row>
    <row r="987" spans="1:14">
      <c r="A987" s="24">
        <v>2020</v>
      </c>
      <c r="B987" s="24" t="s">
        <v>136</v>
      </c>
      <c r="C987" s="24" t="s">
        <v>160</v>
      </c>
      <c r="D987" s="24" t="s">
        <v>164</v>
      </c>
      <c r="E987" s="23"/>
      <c r="F987" s="24" t="s">
        <v>211</v>
      </c>
      <c r="G987" s="24" t="s">
        <v>225</v>
      </c>
      <c r="H987" s="23" t="s">
        <v>225</v>
      </c>
      <c r="I987" s="24" t="s">
        <v>225</v>
      </c>
      <c r="J987" s="23" t="s">
        <v>226</v>
      </c>
      <c r="K987" s="24" t="s">
        <v>225</v>
      </c>
      <c r="L987" s="23"/>
      <c r="M987" s="26" t="s">
        <v>573</v>
      </c>
      <c r="N987" s="24">
        <v>2021</v>
      </c>
    </row>
    <row r="988" spans="1:14">
      <c r="A988" s="24">
        <v>2020</v>
      </c>
      <c r="B988" s="24" t="s">
        <v>4</v>
      </c>
      <c r="C988" s="24" t="s">
        <v>23</v>
      </c>
      <c r="D988" s="24" t="s">
        <v>27</v>
      </c>
      <c r="E988" s="23">
        <v>4</v>
      </c>
      <c r="F988" s="24" t="s">
        <v>211</v>
      </c>
      <c r="G988" s="24" t="s">
        <v>225</v>
      </c>
      <c r="H988" s="23" t="s">
        <v>226</v>
      </c>
      <c r="I988" s="24" t="s">
        <v>226</v>
      </c>
      <c r="J988" s="23" t="s">
        <v>226</v>
      </c>
      <c r="K988" s="24" t="s">
        <v>225</v>
      </c>
      <c r="L988" s="23"/>
      <c r="M988" s="26" t="s">
        <v>573</v>
      </c>
      <c r="N988" s="24">
        <v>2021</v>
      </c>
    </row>
    <row r="989" spans="1:14">
      <c r="A989" s="24">
        <v>2020</v>
      </c>
      <c r="B989" s="24" t="s">
        <v>136</v>
      </c>
      <c r="C989" s="24" t="s">
        <v>146</v>
      </c>
      <c r="D989" s="24" t="s">
        <v>435</v>
      </c>
      <c r="E989" s="23">
        <v>2</v>
      </c>
      <c r="F989" s="24" t="s">
        <v>207</v>
      </c>
      <c r="G989" s="24" t="s">
        <v>225</v>
      </c>
      <c r="H989" s="23" t="s">
        <v>226</v>
      </c>
      <c r="I989" s="24" t="s">
        <v>226</v>
      </c>
      <c r="J989" s="23" t="s">
        <v>226</v>
      </c>
      <c r="K989" s="24" t="s">
        <v>225</v>
      </c>
      <c r="L989" s="23"/>
      <c r="M989" s="26" t="s">
        <v>573</v>
      </c>
      <c r="N989" s="24">
        <v>2021</v>
      </c>
    </row>
    <row r="990" spans="1:14">
      <c r="A990" s="24">
        <v>2020</v>
      </c>
      <c r="B990" s="24" t="s">
        <v>78</v>
      </c>
      <c r="C990" s="24" t="s">
        <v>95</v>
      </c>
      <c r="D990" s="24" t="s">
        <v>98</v>
      </c>
      <c r="E990" s="23"/>
      <c r="F990" s="24" t="s">
        <v>207</v>
      </c>
      <c r="G990" s="24" t="s">
        <v>225</v>
      </c>
      <c r="H990" s="23" t="s">
        <v>225</v>
      </c>
      <c r="I990" s="24" t="s">
        <v>225</v>
      </c>
      <c r="J990" s="23" t="s">
        <v>226</v>
      </c>
      <c r="K990" s="24" t="s">
        <v>225</v>
      </c>
      <c r="L990" s="23"/>
      <c r="M990" s="26" t="s">
        <v>573</v>
      </c>
      <c r="N990" s="24">
        <v>2021</v>
      </c>
    </row>
    <row r="991" spans="1:14">
      <c r="A991" s="24">
        <v>2020</v>
      </c>
      <c r="B991" s="24" t="s">
        <v>78</v>
      </c>
      <c r="C991" s="24" t="s">
        <v>683</v>
      </c>
      <c r="D991" s="24" t="s">
        <v>332</v>
      </c>
      <c r="E991" s="23">
        <v>1</v>
      </c>
      <c r="F991" s="24" t="s">
        <v>207</v>
      </c>
      <c r="G991" s="24" t="s">
        <v>225</v>
      </c>
      <c r="H991" s="23" t="s">
        <v>226</v>
      </c>
      <c r="I991" s="24" t="s">
        <v>226</v>
      </c>
      <c r="J991" s="23" t="s">
        <v>226</v>
      </c>
      <c r="K991" s="24" t="s">
        <v>225</v>
      </c>
      <c r="L991" s="23"/>
      <c r="M991" s="26" t="s">
        <v>574</v>
      </c>
      <c r="N991" s="24">
        <v>2021</v>
      </c>
    </row>
    <row r="992" spans="1:14">
      <c r="A992" s="24">
        <v>2020</v>
      </c>
      <c r="B992" s="24" t="s">
        <v>136</v>
      </c>
      <c r="C992" s="24" t="s">
        <v>137</v>
      </c>
      <c r="D992" s="24" t="s">
        <v>144</v>
      </c>
      <c r="E992" s="23">
        <v>2</v>
      </c>
      <c r="F992" s="24" t="s">
        <v>211</v>
      </c>
      <c r="G992" s="24" t="s">
        <v>225</v>
      </c>
      <c r="H992" s="23" t="s">
        <v>226</v>
      </c>
      <c r="I992" s="24" t="s">
        <v>226</v>
      </c>
      <c r="J992" s="23" t="s">
        <v>226</v>
      </c>
      <c r="K992" s="24" t="s">
        <v>225</v>
      </c>
      <c r="L992" s="23"/>
      <c r="M992" s="26" t="s">
        <v>574</v>
      </c>
      <c r="N992" s="24">
        <v>2021</v>
      </c>
    </row>
    <row r="993" spans="1:14">
      <c r="A993" s="24">
        <v>2020</v>
      </c>
      <c r="B993" s="24" t="s">
        <v>78</v>
      </c>
      <c r="C993" s="24" t="s">
        <v>92</v>
      </c>
      <c r="D993" s="24" t="s">
        <v>575</v>
      </c>
      <c r="E993" s="23">
        <v>18</v>
      </c>
      <c r="F993" s="24" t="s">
        <v>207</v>
      </c>
      <c r="G993" s="24" t="s">
        <v>225</v>
      </c>
      <c r="H993" s="23" t="s">
        <v>226</v>
      </c>
      <c r="I993" s="24" t="s">
        <v>226</v>
      </c>
      <c r="J993" s="23" t="s">
        <v>226</v>
      </c>
      <c r="K993" s="24" t="s">
        <v>225</v>
      </c>
      <c r="L993" s="23"/>
      <c r="M993" s="26" t="s">
        <v>574</v>
      </c>
      <c r="N993" s="24">
        <v>2021</v>
      </c>
    </row>
    <row r="994" spans="1:14">
      <c r="A994" s="24">
        <v>2020</v>
      </c>
      <c r="B994" s="24" t="s">
        <v>78</v>
      </c>
      <c r="C994" s="24" t="s">
        <v>95</v>
      </c>
      <c r="D994" s="24" t="s">
        <v>96</v>
      </c>
      <c r="E994" s="23">
        <v>1</v>
      </c>
      <c r="F994" s="24" t="s">
        <v>207</v>
      </c>
      <c r="G994" s="24" t="s">
        <v>225</v>
      </c>
      <c r="H994" s="23" t="s">
        <v>226</v>
      </c>
      <c r="I994" s="24" t="s">
        <v>226</v>
      </c>
      <c r="J994" s="23" t="s">
        <v>226</v>
      </c>
      <c r="K994" s="24" t="s">
        <v>225</v>
      </c>
      <c r="L994" s="23"/>
      <c r="M994" s="26" t="s">
        <v>574</v>
      </c>
      <c r="N994" s="24">
        <v>2021</v>
      </c>
    </row>
    <row r="995" spans="1:14">
      <c r="A995" s="24">
        <v>2020</v>
      </c>
      <c r="B995" s="24" t="s">
        <v>78</v>
      </c>
      <c r="C995" s="24" t="s">
        <v>122</v>
      </c>
      <c r="D995" s="24" t="s">
        <v>125</v>
      </c>
      <c r="E995" s="23">
        <v>2</v>
      </c>
      <c r="F995" s="24" t="s">
        <v>207</v>
      </c>
      <c r="G995" s="24" t="s">
        <v>225</v>
      </c>
      <c r="H995" s="23" t="s">
        <v>226</v>
      </c>
      <c r="I995" s="24" t="s">
        <v>226</v>
      </c>
      <c r="J995" s="23" t="s">
        <v>226</v>
      </c>
      <c r="K995" s="24" t="s">
        <v>225</v>
      </c>
      <c r="L995" s="23"/>
      <c r="M995" s="26" t="s">
        <v>576</v>
      </c>
      <c r="N995" s="24">
        <v>2021</v>
      </c>
    </row>
    <row r="996" spans="1:14">
      <c r="A996" s="24">
        <v>2020</v>
      </c>
      <c r="B996" s="24" t="s">
        <v>4</v>
      </c>
      <c r="C996" s="24" t="s">
        <v>5</v>
      </c>
      <c r="D996" s="24" t="s">
        <v>8</v>
      </c>
      <c r="E996" s="23">
        <v>6</v>
      </c>
      <c r="F996" s="24" t="s">
        <v>207</v>
      </c>
      <c r="G996" s="24" t="s">
        <v>225</v>
      </c>
      <c r="H996" s="23" t="s">
        <v>226</v>
      </c>
      <c r="I996" s="24" t="s">
        <v>226</v>
      </c>
      <c r="J996" s="23" t="s">
        <v>226</v>
      </c>
      <c r="K996" s="24" t="s">
        <v>225</v>
      </c>
      <c r="L996" s="23"/>
      <c r="M996" s="26" t="s">
        <v>576</v>
      </c>
      <c r="N996" s="24">
        <v>2021</v>
      </c>
    </row>
    <row r="997" spans="1:14">
      <c r="A997" s="24">
        <v>2020</v>
      </c>
      <c r="B997" s="24" t="s">
        <v>78</v>
      </c>
      <c r="C997" s="24" t="s">
        <v>92</v>
      </c>
      <c r="D997" s="24" t="s">
        <v>577</v>
      </c>
      <c r="E997" s="23">
        <v>1</v>
      </c>
      <c r="F997" s="24" t="s">
        <v>211</v>
      </c>
      <c r="G997" s="24" t="s">
        <v>225</v>
      </c>
      <c r="H997" s="23" t="s">
        <v>226</v>
      </c>
      <c r="I997" s="24" t="s">
        <v>226</v>
      </c>
      <c r="J997" s="23" t="s">
        <v>226</v>
      </c>
      <c r="K997" s="24" t="s">
        <v>225</v>
      </c>
      <c r="L997" s="23"/>
      <c r="M997" s="26" t="s">
        <v>576</v>
      </c>
      <c r="N997" s="24">
        <v>2021</v>
      </c>
    </row>
    <row r="998" spans="1:14">
      <c r="A998" s="24">
        <v>2020</v>
      </c>
      <c r="B998" s="24" t="s">
        <v>78</v>
      </c>
      <c r="C998" s="24" t="s">
        <v>95</v>
      </c>
      <c r="D998" s="24" t="s">
        <v>99</v>
      </c>
      <c r="E998" s="23">
        <v>7</v>
      </c>
      <c r="F998" s="24" t="s">
        <v>207</v>
      </c>
      <c r="G998" s="24" t="s">
        <v>225</v>
      </c>
      <c r="H998" s="23" t="s">
        <v>226</v>
      </c>
      <c r="I998" s="24" t="s">
        <v>226</v>
      </c>
      <c r="J998" s="23" t="s">
        <v>226</v>
      </c>
      <c r="K998" s="24" t="s">
        <v>225</v>
      </c>
      <c r="L998" s="23"/>
      <c r="M998" s="26" t="s">
        <v>576</v>
      </c>
      <c r="N998" s="24">
        <v>2021</v>
      </c>
    </row>
    <row r="999" spans="1:14">
      <c r="A999" s="24">
        <v>2020</v>
      </c>
      <c r="B999" s="24" t="s">
        <v>78</v>
      </c>
      <c r="C999" s="24" t="s">
        <v>103</v>
      </c>
      <c r="D999" s="24" t="s">
        <v>108</v>
      </c>
      <c r="E999" s="23">
        <v>2</v>
      </c>
      <c r="F999" s="24" t="s">
        <v>207</v>
      </c>
      <c r="G999" s="23" t="s">
        <v>226</v>
      </c>
      <c r="H999" s="23" t="s">
        <v>226</v>
      </c>
      <c r="I999" s="24" t="s">
        <v>226</v>
      </c>
      <c r="J999" s="23" t="s">
        <v>226</v>
      </c>
      <c r="K999" s="24" t="s">
        <v>225</v>
      </c>
      <c r="L999" s="23"/>
      <c r="M999" s="26" t="s">
        <v>576</v>
      </c>
      <c r="N999" s="24">
        <v>2021</v>
      </c>
    </row>
    <row r="1000" spans="1:14">
      <c r="A1000" s="24">
        <v>2020</v>
      </c>
      <c r="B1000" s="24" t="s">
        <v>136</v>
      </c>
      <c r="C1000" s="24" t="s">
        <v>171</v>
      </c>
      <c r="D1000" s="24" t="s">
        <v>174</v>
      </c>
      <c r="E1000" s="23">
        <v>5</v>
      </c>
      <c r="F1000" s="24" t="s">
        <v>207</v>
      </c>
      <c r="G1000" s="24" t="s">
        <v>225</v>
      </c>
      <c r="H1000" s="23" t="s">
        <v>226</v>
      </c>
      <c r="I1000" s="24" t="s">
        <v>226</v>
      </c>
      <c r="J1000" s="23" t="s">
        <v>226</v>
      </c>
      <c r="K1000" s="24" t="s">
        <v>225</v>
      </c>
      <c r="L1000" s="23"/>
      <c r="M1000" s="26" t="s">
        <v>576</v>
      </c>
      <c r="N1000" s="24">
        <v>2021</v>
      </c>
    </row>
    <row r="1001" spans="1:14">
      <c r="A1001" s="24">
        <v>2020</v>
      </c>
      <c r="B1001" s="24" t="s">
        <v>4</v>
      </c>
      <c r="C1001" s="24" t="s">
        <v>23</v>
      </c>
      <c r="D1001" s="24" t="s">
        <v>29</v>
      </c>
      <c r="E1001" s="23"/>
      <c r="F1001" s="24" t="s">
        <v>211</v>
      </c>
      <c r="G1001" s="24" t="s">
        <v>225</v>
      </c>
      <c r="H1001" s="23" t="s">
        <v>225</v>
      </c>
      <c r="I1001" s="24" t="s">
        <v>225</v>
      </c>
      <c r="J1001" s="23" t="s">
        <v>226</v>
      </c>
      <c r="K1001" s="24" t="s">
        <v>225</v>
      </c>
      <c r="L1001" s="23"/>
      <c r="M1001" s="26" t="s">
        <v>578</v>
      </c>
      <c r="N1001" s="24">
        <v>2021</v>
      </c>
    </row>
    <row r="1002" spans="1:14">
      <c r="A1002" s="24">
        <v>2020</v>
      </c>
      <c r="B1002" s="24" t="s">
        <v>78</v>
      </c>
      <c r="C1002" s="24" t="s">
        <v>681</v>
      </c>
      <c r="D1002" s="24" t="s">
        <v>198</v>
      </c>
      <c r="E1002" s="23">
        <v>3</v>
      </c>
      <c r="F1002" s="24" t="s">
        <v>211</v>
      </c>
      <c r="G1002" s="23" t="s">
        <v>226</v>
      </c>
      <c r="H1002" s="23" t="s">
        <v>226</v>
      </c>
      <c r="I1002" s="24" t="s">
        <v>226</v>
      </c>
      <c r="J1002" s="23" t="s">
        <v>226</v>
      </c>
      <c r="K1002" s="24" t="s">
        <v>225</v>
      </c>
      <c r="L1002" s="23"/>
      <c r="M1002" s="26" t="s">
        <v>578</v>
      </c>
      <c r="N1002" s="24">
        <v>2021</v>
      </c>
    </row>
    <row r="1003" spans="1:14">
      <c r="A1003" s="24">
        <v>2020</v>
      </c>
      <c r="B1003" s="24" t="s">
        <v>136</v>
      </c>
      <c r="C1003" s="24" t="s">
        <v>146</v>
      </c>
      <c r="D1003" s="24" t="s">
        <v>326</v>
      </c>
      <c r="E1003" s="23">
        <v>4</v>
      </c>
      <c r="F1003" s="24" t="s">
        <v>207</v>
      </c>
      <c r="G1003" s="24" t="s">
        <v>225</v>
      </c>
      <c r="H1003" s="23" t="s">
        <v>226</v>
      </c>
      <c r="I1003" s="24" t="s">
        <v>225</v>
      </c>
      <c r="J1003" s="23" t="s">
        <v>226</v>
      </c>
      <c r="K1003" s="24" t="s">
        <v>225</v>
      </c>
      <c r="L1003" s="23"/>
      <c r="M1003" s="26" t="s">
        <v>578</v>
      </c>
      <c r="N1003" s="24">
        <v>2021</v>
      </c>
    </row>
    <row r="1004" spans="1:14">
      <c r="A1004" s="24">
        <v>2020</v>
      </c>
      <c r="B1004" s="24" t="s">
        <v>78</v>
      </c>
      <c r="C1004" s="24" t="s">
        <v>95</v>
      </c>
      <c r="D1004" s="24" t="s">
        <v>97</v>
      </c>
      <c r="E1004" s="23"/>
      <c r="F1004" s="24" t="s">
        <v>207</v>
      </c>
      <c r="G1004" s="24" t="s">
        <v>225</v>
      </c>
      <c r="H1004" s="23" t="s">
        <v>225</v>
      </c>
      <c r="I1004" s="24" t="s">
        <v>226</v>
      </c>
      <c r="J1004" s="23" t="s">
        <v>226</v>
      </c>
      <c r="K1004" s="24" t="s">
        <v>225</v>
      </c>
      <c r="L1004" s="23"/>
      <c r="M1004" s="26" t="s">
        <v>578</v>
      </c>
      <c r="N1004" s="24">
        <v>2021</v>
      </c>
    </row>
    <row r="1005" spans="1:14">
      <c r="A1005" s="24">
        <v>2020</v>
      </c>
      <c r="B1005" s="24" t="s">
        <v>78</v>
      </c>
      <c r="C1005" s="24" t="s">
        <v>681</v>
      </c>
      <c r="D1005" s="24" t="s">
        <v>201</v>
      </c>
      <c r="E1005" s="23">
        <v>4</v>
      </c>
      <c r="F1005" s="24" t="s">
        <v>207</v>
      </c>
      <c r="G1005" s="24" t="s">
        <v>225</v>
      </c>
      <c r="H1005" s="23" t="s">
        <v>226</v>
      </c>
      <c r="I1005" s="24" t="s">
        <v>225</v>
      </c>
      <c r="J1005" s="23" t="s">
        <v>226</v>
      </c>
      <c r="K1005" s="24" t="s">
        <v>225</v>
      </c>
      <c r="L1005" s="23"/>
      <c r="M1005" s="26" t="s">
        <v>578</v>
      </c>
      <c r="N1005" s="24">
        <v>2021</v>
      </c>
    </row>
    <row r="1006" spans="1:14">
      <c r="A1006" s="24">
        <v>2020</v>
      </c>
      <c r="B1006" s="24" t="s">
        <v>136</v>
      </c>
      <c r="C1006" s="24" t="s">
        <v>146</v>
      </c>
      <c r="D1006" s="24" t="s">
        <v>147</v>
      </c>
      <c r="E1006" s="23">
        <v>1</v>
      </c>
      <c r="F1006" s="24" t="s">
        <v>207</v>
      </c>
      <c r="G1006" s="23" t="s">
        <v>226</v>
      </c>
      <c r="H1006" s="23" t="s">
        <v>226</v>
      </c>
      <c r="I1006" s="24" t="s">
        <v>226</v>
      </c>
      <c r="J1006" s="23" t="s">
        <v>226</v>
      </c>
      <c r="K1006" s="24" t="s">
        <v>225</v>
      </c>
      <c r="L1006" s="23"/>
      <c r="M1006" s="26" t="s">
        <v>578</v>
      </c>
      <c r="N1006" s="24">
        <v>2021</v>
      </c>
    </row>
    <row r="1007" spans="1:14">
      <c r="A1007" s="24">
        <v>2020</v>
      </c>
      <c r="B1007" s="24" t="s">
        <v>136</v>
      </c>
      <c r="C1007" s="24" t="s">
        <v>168</v>
      </c>
      <c r="D1007" s="24" t="s">
        <v>170</v>
      </c>
      <c r="E1007" s="23">
        <v>2</v>
      </c>
      <c r="F1007" s="24" t="s">
        <v>211</v>
      </c>
      <c r="G1007" s="24" t="s">
        <v>225</v>
      </c>
      <c r="H1007" s="23" t="s">
        <v>226</v>
      </c>
      <c r="I1007" s="24" t="s">
        <v>225</v>
      </c>
      <c r="J1007" s="23" t="s">
        <v>226</v>
      </c>
      <c r="K1007" s="24" t="s">
        <v>225</v>
      </c>
      <c r="L1007" s="23"/>
      <c r="M1007" s="25">
        <v>44381</v>
      </c>
      <c r="N1007" s="24">
        <v>2021</v>
      </c>
    </row>
    <row r="1008" spans="1:14">
      <c r="A1008" s="24">
        <v>2020</v>
      </c>
      <c r="B1008" s="24" t="s">
        <v>4</v>
      </c>
      <c r="C1008" s="24" t="s">
        <v>23</v>
      </c>
      <c r="D1008" s="24" t="s">
        <v>27</v>
      </c>
      <c r="E1008" s="23"/>
      <c r="F1008" s="24" t="s">
        <v>207</v>
      </c>
      <c r="G1008" s="24" t="s">
        <v>225</v>
      </c>
      <c r="H1008" s="23" t="s">
        <v>225</v>
      </c>
      <c r="I1008" s="24" t="s">
        <v>225</v>
      </c>
      <c r="J1008" s="23" t="s">
        <v>226</v>
      </c>
      <c r="K1008" s="24" t="s">
        <v>225</v>
      </c>
      <c r="L1008" s="23"/>
      <c r="M1008" s="25">
        <v>44381</v>
      </c>
      <c r="N1008" s="24">
        <v>2021</v>
      </c>
    </row>
    <row r="1009" spans="1:14">
      <c r="A1009" s="24">
        <v>2020</v>
      </c>
      <c r="B1009" s="24" t="s">
        <v>136</v>
      </c>
      <c r="C1009" s="24" t="s">
        <v>176</v>
      </c>
      <c r="D1009" s="24" t="s">
        <v>182</v>
      </c>
      <c r="E1009" s="23">
        <v>12</v>
      </c>
      <c r="F1009" s="24" t="s">
        <v>207</v>
      </c>
      <c r="G1009" s="24" t="s">
        <v>225</v>
      </c>
      <c r="H1009" s="23" t="s">
        <v>226</v>
      </c>
      <c r="I1009" s="24" t="s">
        <v>225</v>
      </c>
      <c r="J1009" s="23" t="s">
        <v>226</v>
      </c>
      <c r="K1009" s="24" t="s">
        <v>225</v>
      </c>
      <c r="L1009" s="23"/>
      <c r="M1009" s="25">
        <v>44382</v>
      </c>
      <c r="N1009" s="24">
        <v>2021</v>
      </c>
    </row>
    <row r="1010" spans="1:14">
      <c r="A1010" s="24">
        <v>2020</v>
      </c>
      <c r="B1010" s="24" t="s">
        <v>4</v>
      </c>
      <c r="C1010" s="24" t="s">
        <v>5</v>
      </c>
      <c r="D1010" s="24" t="s">
        <v>6</v>
      </c>
      <c r="E1010" s="23">
        <v>2</v>
      </c>
      <c r="F1010" s="24" t="s">
        <v>211</v>
      </c>
      <c r="G1010" s="24" t="s">
        <v>225</v>
      </c>
      <c r="H1010" s="23" t="s">
        <v>226</v>
      </c>
      <c r="I1010" s="24" t="s">
        <v>226</v>
      </c>
      <c r="J1010" s="23" t="s">
        <v>226</v>
      </c>
      <c r="K1010" s="24" t="s">
        <v>225</v>
      </c>
      <c r="L1010" s="23"/>
      <c r="M1010" s="25">
        <v>44382</v>
      </c>
      <c r="N1010" s="24">
        <v>2021</v>
      </c>
    </row>
    <row r="1011" spans="1:14">
      <c r="A1011" s="24">
        <v>2020</v>
      </c>
      <c r="B1011" s="24" t="s">
        <v>78</v>
      </c>
      <c r="C1011" s="24" t="s">
        <v>681</v>
      </c>
      <c r="D1011" s="24" t="s">
        <v>198</v>
      </c>
      <c r="E1011" s="23">
        <v>2</v>
      </c>
      <c r="F1011" s="24" t="s">
        <v>211</v>
      </c>
      <c r="G1011" s="24" t="s">
        <v>225</v>
      </c>
      <c r="H1011" s="23" t="s">
        <v>226</v>
      </c>
      <c r="I1011" s="24" t="s">
        <v>226</v>
      </c>
      <c r="J1011" s="23" t="s">
        <v>226</v>
      </c>
      <c r="K1011" s="24" t="s">
        <v>225</v>
      </c>
      <c r="L1011" s="23"/>
      <c r="M1011" s="25">
        <v>44382</v>
      </c>
      <c r="N1011" s="24">
        <v>2021</v>
      </c>
    </row>
    <row r="1012" spans="1:14">
      <c r="A1012" s="24">
        <v>2020</v>
      </c>
      <c r="B1012" s="24" t="s">
        <v>4</v>
      </c>
      <c r="C1012" s="24" t="s">
        <v>14</v>
      </c>
      <c r="D1012" s="24" t="s">
        <v>15</v>
      </c>
      <c r="E1012" s="23">
        <v>9</v>
      </c>
      <c r="F1012" s="24" t="s">
        <v>211</v>
      </c>
      <c r="G1012" s="24" t="s">
        <v>225</v>
      </c>
      <c r="H1012" s="23" t="s">
        <v>226</v>
      </c>
      <c r="I1012" s="24" t="s">
        <v>226</v>
      </c>
      <c r="J1012" s="23" t="s">
        <v>226</v>
      </c>
      <c r="K1012" s="24" t="s">
        <v>225</v>
      </c>
      <c r="L1012" s="23"/>
      <c r="M1012" s="25">
        <v>44382</v>
      </c>
      <c r="N1012" s="24">
        <v>2021</v>
      </c>
    </row>
    <row r="1013" spans="1:14">
      <c r="A1013" s="24">
        <v>2020</v>
      </c>
      <c r="B1013" s="24" t="s">
        <v>4</v>
      </c>
      <c r="C1013" s="24" t="s">
        <v>23</v>
      </c>
      <c r="D1013" s="24" t="s">
        <v>26</v>
      </c>
      <c r="E1013" s="23">
        <v>2</v>
      </c>
      <c r="F1013" s="24" t="s">
        <v>211</v>
      </c>
      <c r="G1013" s="24" t="s">
        <v>225</v>
      </c>
      <c r="H1013" s="23" t="s">
        <v>226</v>
      </c>
      <c r="I1013" s="24" t="s">
        <v>225</v>
      </c>
      <c r="J1013" s="23" t="s">
        <v>226</v>
      </c>
      <c r="K1013" s="24" t="s">
        <v>225</v>
      </c>
      <c r="L1013" s="23"/>
      <c r="M1013" s="25">
        <v>44382</v>
      </c>
      <c r="N1013" s="24">
        <v>2021</v>
      </c>
    </row>
    <row r="1014" spans="1:14">
      <c r="A1014" s="24">
        <v>2020</v>
      </c>
      <c r="B1014" s="24" t="s">
        <v>4</v>
      </c>
      <c r="C1014" s="24" t="s">
        <v>23</v>
      </c>
      <c r="D1014" s="24" t="s">
        <v>27</v>
      </c>
      <c r="E1014" s="23">
        <v>5</v>
      </c>
      <c r="F1014" s="24" t="s">
        <v>211</v>
      </c>
      <c r="G1014" s="24" t="s">
        <v>225</v>
      </c>
      <c r="H1014" s="23" t="s">
        <v>226</v>
      </c>
      <c r="I1014" s="24" t="s">
        <v>225</v>
      </c>
      <c r="J1014" s="23" t="s">
        <v>226</v>
      </c>
      <c r="K1014" s="24" t="s">
        <v>225</v>
      </c>
      <c r="L1014" s="23"/>
      <c r="M1014" s="25">
        <v>44382</v>
      </c>
      <c r="N1014" s="24">
        <v>2021</v>
      </c>
    </row>
    <row r="1015" spans="1:14">
      <c r="A1015" s="24">
        <v>2020</v>
      </c>
      <c r="B1015" s="24" t="s">
        <v>4</v>
      </c>
      <c r="C1015" s="24" t="s">
        <v>23</v>
      </c>
      <c r="D1015" s="24" t="s">
        <v>25</v>
      </c>
      <c r="E1015" s="23">
        <v>3</v>
      </c>
      <c r="F1015" s="24" t="s">
        <v>211</v>
      </c>
      <c r="G1015" s="24" t="s">
        <v>225</v>
      </c>
      <c r="H1015" s="23" t="s">
        <v>226</v>
      </c>
      <c r="I1015" s="24" t="s">
        <v>225</v>
      </c>
      <c r="J1015" s="23" t="s">
        <v>226</v>
      </c>
      <c r="K1015" s="24" t="s">
        <v>225</v>
      </c>
      <c r="L1015" s="23"/>
      <c r="M1015" s="25">
        <v>44382</v>
      </c>
      <c r="N1015" s="24">
        <v>2021</v>
      </c>
    </row>
    <row r="1016" spans="1:14">
      <c r="A1016" s="24">
        <v>2020</v>
      </c>
      <c r="B1016" s="24" t="s">
        <v>4</v>
      </c>
      <c r="C1016" s="24" t="s">
        <v>23</v>
      </c>
      <c r="D1016" s="24" t="s">
        <v>24</v>
      </c>
      <c r="E1016" s="23">
        <v>3</v>
      </c>
      <c r="F1016" s="24" t="s">
        <v>211</v>
      </c>
      <c r="G1016" s="24" t="s">
        <v>225</v>
      </c>
      <c r="H1016" s="23" t="s">
        <v>226</v>
      </c>
      <c r="I1016" s="24" t="s">
        <v>225</v>
      </c>
      <c r="J1016" s="23" t="s">
        <v>226</v>
      </c>
      <c r="K1016" s="24" t="s">
        <v>225</v>
      </c>
      <c r="L1016" s="23"/>
      <c r="M1016" s="25">
        <v>44382</v>
      </c>
      <c r="N1016" s="24">
        <v>2021</v>
      </c>
    </row>
    <row r="1017" spans="1:14">
      <c r="A1017" s="24">
        <v>2020</v>
      </c>
      <c r="B1017" s="24" t="s">
        <v>4</v>
      </c>
      <c r="C1017" s="24" t="s">
        <v>203</v>
      </c>
      <c r="D1017" s="24" t="s">
        <v>42</v>
      </c>
      <c r="E1017" s="23">
        <v>13</v>
      </c>
      <c r="F1017" s="24" t="s">
        <v>211</v>
      </c>
      <c r="G1017" s="24" t="s">
        <v>225</v>
      </c>
      <c r="H1017" s="23" t="s">
        <v>226</v>
      </c>
      <c r="I1017" s="24" t="s">
        <v>226</v>
      </c>
      <c r="J1017" s="23" t="s">
        <v>226</v>
      </c>
      <c r="K1017" s="24" t="s">
        <v>225</v>
      </c>
      <c r="L1017" s="23"/>
      <c r="M1017" s="25">
        <v>44383</v>
      </c>
      <c r="N1017" s="24">
        <v>2021</v>
      </c>
    </row>
    <row r="1018" spans="1:14">
      <c r="A1018" s="24">
        <v>2020</v>
      </c>
      <c r="B1018" s="24" t="s">
        <v>78</v>
      </c>
      <c r="C1018" s="24" t="s">
        <v>122</v>
      </c>
      <c r="D1018" s="24" t="s">
        <v>128</v>
      </c>
      <c r="E1018" s="23"/>
      <c r="F1018" s="24" t="s">
        <v>211</v>
      </c>
      <c r="G1018" s="24" t="s">
        <v>225</v>
      </c>
      <c r="H1018" s="23" t="s">
        <v>225</v>
      </c>
      <c r="I1018" s="24" t="s">
        <v>225</v>
      </c>
      <c r="J1018" s="23" t="s">
        <v>226</v>
      </c>
      <c r="K1018" s="24" t="s">
        <v>225</v>
      </c>
      <c r="L1018" s="23"/>
      <c r="M1018" s="25">
        <v>44383</v>
      </c>
      <c r="N1018" s="24">
        <v>2021</v>
      </c>
    </row>
    <row r="1019" spans="1:14">
      <c r="A1019" s="24">
        <v>2020</v>
      </c>
      <c r="B1019" s="24" t="s">
        <v>136</v>
      </c>
      <c r="C1019" s="24" t="s">
        <v>137</v>
      </c>
      <c r="D1019" s="24" t="s">
        <v>143</v>
      </c>
      <c r="E1019" s="23">
        <v>1</v>
      </c>
      <c r="F1019" s="24" t="s">
        <v>207</v>
      </c>
      <c r="G1019" s="24" t="s">
        <v>225</v>
      </c>
      <c r="H1019" s="23" t="s">
        <v>226</v>
      </c>
      <c r="I1019" s="24" t="s">
        <v>225</v>
      </c>
      <c r="J1019" s="23" t="s">
        <v>226</v>
      </c>
      <c r="K1019" s="24" t="s">
        <v>225</v>
      </c>
      <c r="L1019" s="23"/>
      <c r="M1019" s="25">
        <v>44383</v>
      </c>
      <c r="N1019" s="24">
        <v>2021</v>
      </c>
    </row>
    <row r="1020" spans="1:14">
      <c r="A1020" s="24">
        <v>2020</v>
      </c>
      <c r="B1020" s="24" t="s">
        <v>78</v>
      </c>
      <c r="C1020" s="24" t="s">
        <v>683</v>
      </c>
      <c r="D1020" s="24" t="s">
        <v>118</v>
      </c>
      <c r="E1020" s="23">
        <v>21</v>
      </c>
      <c r="F1020" s="24" t="s">
        <v>211</v>
      </c>
      <c r="G1020" s="23" t="s">
        <v>226</v>
      </c>
      <c r="H1020" s="23" t="s">
        <v>226</v>
      </c>
      <c r="I1020" s="24" t="s">
        <v>226</v>
      </c>
      <c r="J1020" s="23" t="s">
        <v>226</v>
      </c>
      <c r="K1020" s="24" t="s">
        <v>225</v>
      </c>
      <c r="L1020" s="23"/>
      <c r="M1020" s="25">
        <v>44384</v>
      </c>
      <c r="N1020" s="24">
        <v>2021</v>
      </c>
    </row>
    <row r="1021" spans="1:14">
      <c r="A1021" s="24">
        <v>2020</v>
      </c>
      <c r="B1021" s="24" t="s">
        <v>136</v>
      </c>
      <c r="C1021" s="24" t="s">
        <v>176</v>
      </c>
      <c r="D1021" s="24" t="s">
        <v>179</v>
      </c>
      <c r="E1021" s="23">
        <v>1</v>
      </c>
      <c r="F1021" s="24" t="s">
        <v>211</v>
      </c>
      <c r="G1021" s="24" t="s">
        <v>225</v>
      </c>
      <c r="H1021" s="23" t="s">
        <v>226</v>
      </c>
      <c r="I1021" s="24" t="s">
        <v>225</v>
      </c>
      <c r="J1021" s="23" t="s">
        <v>226</v>
      </c>
      <c r="K1021" s="24" t="s">
        <v>225</v>
      </c>
      <c r="L1021" s="23"/>
      <c r="M1021" s="25">
        <v>44384</v>
      </c>
      <c r="N1021" s="24">
        <v>2021</v>
      </c>
    </row>
    <row r="1022" spans="1:14">
      <c r="A1022" s="24">
        <v>2020</v>
      </c>
      <c r="B1022" s="24" t="s">
        <v>78</v>
      </c>
      <c r="C1022" s="24" t="s">
        <v>683</v>
      </c>
      <c r="D1022" s="24" t="s">
        <v>118</v>
      </c>
      <c r="E1022" s="23">
        <v>14</v>
      </c>
      <c r="F1022" s="24" t="s">
        <v>211</v>
      </c>
      <c r="G1022" s="24" t="s">
        <v>225</v>
      </c>
      <c r="H1022" s="23" t="s">
        <v>226</v>
      </c>
      <c r="I1022" s="24" t="s">
        <v>226</v>
      </c>
      <c r="J1022" s="23" t="s">
        <v>226</v>
      </c>
      <c r="K1022" s="24" t="s">
        <v>225</v>
      </c>
      <c r="L1022" s="23"/>
      <c r="M1022" s="25">
        <v>44384</v>
      </c>
      <c r="N1022" s="24">
        <v>2021</v>
      </c>
    </row>
    <row r="1023" spans="1:14">
      <c r="A1023" s="24">
        <v>2020</v>
      </c>
      <c r="B1023" s="24" t="s">
        <v>136</v>
      </c>
      <c r="C1023" s="24" t="s">
        <v>176</v>
      </c>
      <c r="D1023" s="24" t="s">
        <v>181</v>
      </c>
      <c r="E1023" s="28">
        <v>3</v>
      </c>
      <c r="F1023" s="24" t="s">
        <v>207</v>
      </c>
      <c r="G1023" s="24" t="s">
        <v>225</v>
      </c>
      <c r="H1023" s="23" t="s">
        <v>225</v>
      </c>
      <c r="I1023" s="24" t="s">
        <v>226</v>
      </c>
      <c r="J1023" s="23" t="s">
        <v>226</v>
      </c>
      <c r="K1023" s="24" t="s">
        <v>225</v>
      </c>
      <c r="L1023" s="23"/>
      <c r="M1023" s="25">
        <v>44386</v>
      </c>
      <c r="N1023" s="24">
        <v>2021</v>
      </c>
    </row>
    <row r="1024" spans="1:14">
      <c r="A1024" s="24">
        <v>2020</v>
      </c>
      <c r="B1024" s="24" t="s">
        <v>4</v>
      </c>
      <c r="C1024" s="24" t="s">
        <v>23</v>
      </c>
      <c r="D1024" s="24" t="s">
        <v>28</v>
      </c>
      <c r="E1024" s="23">
        <v>2</v>
      </c>
      <c r="F1024" s="24" t="s">
        <v>211</v>
      </c>
      <c r="G1024" s="24" t="s">
        <v>225</v>
      </c>
      <c r="H1024" s="23" t="s">
        <v>226</v>
      </c>
      <c r="I1024" s="24" t="s">
        <v>225</v>
      </c>
      <c r="J1024" s="23" t="s">
        <v>226</v>
      </c>
      <c r="K1024" s="24" t="s">
        <v>225</v>
      </c>
      <c r="L1024" s="23"/>
      <c r="M1024" s="25">
        <v>44386</v>
      </c>
      <c r="N1024" s="24">
        <v>2021</v>
      </c>
    </row>
    <row r="1025" spans="1:14">
      <c r="A1025" s="24">
        <v>2020</v>
      </c>
      <c r="B1025" s="24" t="s">
        <v>78</v>
      </c>
      <c r="C1025" s="24" t="s">
        <v>103</v>
      </c>
      <c r="D1025" s="24" t="s">
        <v>467</v>
      </c>
      <c r="E1025" s="23">
        <v>11</v>
      </c>
      <c r="F1025" s="24" t="s">
        <v>207</v>
      </c>
      <c r="G1025" s="24" t="s">
        <v>225</v>
      </c>
      <c r="H1025" s="23" t="s">
        <v>226</v>
      </c>
      <c r="I1025" s="24" t="s">
        <v>226</v>
      </c>
      <c r="J1025" s="23" t="s">
        <v>226</v>
      </c>
      <c r="K1025" s="24" t="s">
        <v>225</v>
      </c>
      <c r="L1025" s="23"/>
      <c r="M1025" s="25">
        <v>44386</v>
      </c>
      <c r="N1025" s="24">
        <v>2021</v>
      </c>
    </row>
    <row r="1026" spans="1:14">
      <c r="A1026" s="24">
        <v>2020</v>
      </c>
      <c r="B1026" s="24" t="s">
        <v>78</v>
      </c>
      <c r="C1026" s="24" t="s">
        <v>683</v>
      </c>
      <c r="D1026" s="24" t="s">
        <v>116</v>
      </c>
      <c r="E1026" s="23">
        <v>3</v>
      </c>
      <c r="F1026" s="24" t="s">
        <v>207</v>
      </c>
      <c r="G1026" s="24" t="s">
        <v>225</v>
      </c>
      <c r="H1026" s="23" t="s">
        <v>226</v>
      </c>
      <c r="I1026" s="24" t="s">
        <v>226</v>
      </c>
      <c r="J1026" s="23" t="s">
        <v>226</v>
      </c>
      <c r="K1026" s="24" t="s">
        <v>225</v>
      </c>
      <c r="L1026" s="23"/>
      <c r="M1026" s="26" t="s">
        <v>579</v>
      </c>
      <c r="N1026" s="24">
        <v>2021</v>
      </c>
    </row>
    <row r="1027" spans="1:14">
      <c r="A1027" s="24">
        <v>2020</v>
      </c>
      <c r="B1027" s="24" t="s">
        <v>136</v>
      </c>
      <c r="C1027" s="24" t="s">
        <v>189</v>
      </c>
      <c r="D1027" s="24" t="s">
        <v>258</v>
      </c>
      <c r="E1027" s="23">
        <v>1</v>
      </c>
      <c r="F1027" s="24" t="s">
        <v>207</v>
      </c>
      <c r="G1027" s="24" t="s">
        <v>225</v>
      </c>
      <c r="H1027" s="23" t="s">
        <v>226</v>
      </c>
      <c r="I1027" s="24" t="s">
        <v>225</v>
      </c>
      <c r="J1027" s="23" t="s">
        <v>226</v>
      </c>
      <c r="K1027" s="24" t="s">
        <v>225</v>
      </c>
      <c r="L1027" s="23"/>
      <c r="M1027" s="26" t="s">
        <v>579</v>
      </c>
      <c r="N1027" s="24">
        <v>2021</v>
      </c>
    </row>
    <row r="1028" spans="1:14">
      <c r="A1028" s="24">
        <v>2020</v>
      </c>
      <c r="B1028" s="24" t="s">
        <v>78</v>
      </c>
      <c r="C1028" s="24" t="s">
        <v>92</v>
      </c>
      <c r="D1028" s="24" t="s">
        <v>93</v>
      </c>
      <c r="E1028" s="23">
        <v>1</v>
      </c>
      <c r="F1028" s="24" t="s">
        <v>211</v>
      </c>
      <c r="G1028" s="24" t="s">
        <v>225</v>
      </c>
      <c r="H1028" s="23" t="s">
        <v>226</v>
      </c>
      <c r="I1028" s="24" t="s">
        <v>226</v>
      </c>
      <c r="J1028" s="23" t="s">
        <v>226</v>
      </c>
      <c r="K1028" s="24" t="s">
        <v>225</v>
      </c>
      <c r="L1028" s="23"/>
      <c r="M1028" s="26" t="s">
        <v>579</v>
      </c>
      <c r="N1028" s="24">
        <v>2021</v>
      </c>
    </row>
    <row r="1029" spans="1:14">
      <c r="A1029" s="24">
        <v>2020</v>
      </c>
      <c r="B1029" s="24" t="s">
        <v>4</v>
      </c>
      <c r="C1029" s="24" t="s">
        <v>203</v>
      </c>
      <c r="D1029" s="24" t="s">
        <v>39</v>
      </c>
      <c r="E1029" s="23">
        <v>3</v>
      </c>
      <c r="F1029" s="24" t="s">
        <v>207</v>
      </c>
      <c r="G1029" s="24" t="s">
        <v>225</v>
      </c>
      <c r="H1029" s="23" t="s">
        <v>226</v>
      </c>
      <c r="I1029" s="24" t="s">
        <v>225</v>
      </c>
      <c r="J1029" s="23" t="s">
        <v>226</v>
      </c>
      <c r="K1029" s="24" t="s">
        <v>225</v>
      </c>
      <c r="L1029" s="23"/>
      <c r="M1029" s="26" t="s">
        <v>580</v>
      </c>
      <c r="N1029" s="24">
        <v>2021</v>
      </c>
    </row>
    <row r="1030" spans="1:14">
      <c r="A1030" s="24">
        <v>2020</v>
      </c>
      <c r="B1030" s="24" t="s">
        <v>136</v>
      </c>
      <c r="C1030" s="24" t="s">
        <v>176</v>
      </c>
      <c r="D1030" s="24" t="s">
        <v>178</v>
      </c>
      <c r="E1030" s="23"/>
      <c r="F1030" s="24" t="s">
        <v>211</v>
      </c>
      <c r="G1030" s="24" t="s">
        <v>225</v>
      </c>
      <c r="H1030" s="23" t="s">
        <v>225</v>
      </c>
      <c r="I1030" s="24" t="s">
        <v>226</v>
      </c>
      <c r="J1030" s="23" t="s">
        <v>226</v>
      </c>
      <c r="K1030" s="24" t="s">
        <v>225</v>
      </c>
      <c r="L1030" s="23"/>
      <c r="M1030" s="26" t="s">
        <v>580</v>
      </c>
      <c r="N1030" s="24">
        <v>2021</v>
      </c>
    </row>
    <row r="1031" spans="1:14">
      <c r="A1031" s="24">
        <v>2020</v>
      </c>
      <c r="B1031" s="24" t="s">
        <v>136</v>
      </c>
      <c r="C1031" s="24" t="s">
        <v>189</v>
      </c>
      <c r="D1031" s="24" t="s">
        <v>195</v>
      </c>
      <c r="E1031" s="23">
        <v>5</v>
      </c>
      <c r="F1031" s="24" t="s">
        <v>207</v>
      </c>
      <c r="G1031" s="24" t="s">
        <v>225</v>
      </c>
      <c r="H1031" s="23" t="s">
        <v>226</v>
      </c>
      <c r="I1031" s="24" t="s">
        <v>226</v>
      </c>
      <c r="J1031" s="23" t="s">
        <v>226</v>
      </c>
      <c r="K1031" s="24" t="s">
        <v>225</v>
      </c>
      <c r="L1031" s="23"/>
      <c r="M1031" s="26" t="s">
        <v>581</v>
      </c>
      <c r="N1031" s="24">
        <v>2021</v>
      </c>
    </row>
    <row r="1032" spans="1:14">
      <c r="A1032" s="24">
        <v>2020</v>
      </c>
      <c r="B1032" s="24" t="s">
        <v>78</v>
      </c>
      <c r="C1032" s="24" t="s">
        <v>683</v>
      </c>
      <c r="D1032" s="24" t="s">
        <v>546</v>
      </c>
      <c r="E1032" s="23"/>
      <c r="F1032" s="24" t="s">
        <v>211</v>
      </c>
      <c r="G1032" s="24" t="s">
        <v>225</v>
      </c>
      <c r="H1032" s="23" t="s">
        <v>225</v>
      </c>
      <c r="I1032" s="24" t="s">
        <v>225</v>
      </c>
      <c r="J1032" s="23" t="s">
        <v>226</v>
      </c>
      <c r="K1032" s="24" t="s">
        <v>225</v>
      </c>
      <c r="L1032" s="23"/>
      <c r="M1032" s="26" t="s">
        <v>581</v>
      </c>
      <c r="N1032" s="24">
        <v>2021</v>
      </c>
    </row>
    <row r="1033" spans="1:14">
      <c r="A1033" s="24">
        <v>2020</v>
      </c>
      <c r="B1033" s="24" t="s">
        <v>78</v>
      </c>
      <c r="C1033" s="24" t="s">
        <v>79</v>
      </c>
      <c r="D1033" s="24" t="s">
        <v>51</v>
      </c>
      <c r="E1033" s="23">
        <v>6</v>
      </c>
      <c r="F1033" s="24" t="s">
        <v>211</v>
      </c>
      <c r="G1033" s="24" t="s">
        <v>225</v>
      </c>
      <c r="H1033" s="23" t="s">
        <v>226</v>
      </c>
      <c r="I1033" s="24" t="s">
        <v>226</v>
      </c>
      <c r="J1033" s="23" t="s">
        <v>226</v>
      </c>
      <c r="K1033" s="24" t="s">
        <v>225</v>
      </c>
      <c r="L1033" s="23"/>
      <c r="M1033" s="26" t="s">
        <v>582</v>
      </c>
      <c r="N1033" s="24">
        <v>2021</v>
      </c>
    </row>
    <row r="1034" spans="1:14">
      <c r="A1034" s="24">
        <v>2020</v>
      </c>
      <c r="B1034" s="24" t="s">
        <v>136</v>
      </c>
      <c r="C1034" s="24" t="s">
        <v>152</v>
      </c>
      <c r="D1034" s="24" t="s">
        <v>159</v>
      </c>
      <c r="E1034" s="28">
        <v>5</v>
      </c>
      <c r="F1034" s="24" t="s">
        <v>207</v>
      </c>
      <c r="G1034" s="23" t="s">
        <v>226</v>
      </c>
      <c r="H1034" s="23" t="s">
        <v>225</v>
      </c>
      <c r="I1034" s="24" t="s">
        <v>225</v>
      </c>
      <c r="J1034" s="23" t="s">
        <v>226</v>
      </c>
      <c r="K1034" s="24" t="s">
        <v>225</v>
      </c>
      <c r="L1034" s="23"/>
      <c r="M1034" s="26" t="s">
        <v>582</v>
      </c>
      <c r="N1034" s="24">
        <v>2021</v>
      </c>
    </row>
    <row r="1035" spans="1:14">
      <c r="A1035" s="24">
        <v>2020</v>
      </c>
      <c r="B1035" s="24" t="s">
        <v>4</v>
      </c>
      <c r="C1035" s="24" t="s">
        <v>23</v>
      </c>
      <c r="D1035" s="24" t="s">
        <v>27</v>
      </c>
      <c r="E1035" s="23">
        <v>21</v>
      </c>
      <c r="F1035" s="24" t="s">
        <v>207</v>
      </c>
      <c r="G1035" s="24" t="s">
        <v>225</v>
      </c>
      <c r="H1035" s="23" t="s">
        <v>226</v>
      </c>
      <c r="I1035" s="24" t="s">
        <v>225</v>
      </c>
      <c r="J1035" s="23" t="s">
        <v>226</v>
      </c>
      <c r="K1035" s="24" t="s">
        <v>225</v>
      </c>
      <c r="L1035" s="23"/>
      <c r="M1035" s="26" t="s">
        <v>582</v>
      </c>
      <c r="N1035" s="24">
        <v>2021</v>
      </c>
    </row>
    <row r="1036" spans="1:14">
      <c r="A1036" s="24">
        <v>2020</v>
      </c>
      <c r="B1036" s="24" t="s">
        <v>4</v>
      </c>
      <c r="C1036" s="24" t="s">
        <v>5</v>
      </c>
      <c r="D1036" s="24" t="s">
        <v>8</v>
      </c>
      <c r="E1036" s="23">
        <v>3</v>
      </c>
      <c r="F1036" s="24" t="s">
        <v>211</v>
      </c>
      <c r="G1036" s="24" t="s">
        <v>225</v>
      </c>
      <c r="H1036" s="23" t="s">
        <v>226</v>
      </c>
      <c r="I1036" s="24" t="s">
        <v>226</v>
      </c>
      <c r="J1036" s="23" t="s">
        <v>226</v>
      </c>
      <c r="K1036" s="24" t="s">
        <v>225</v>
      </c>
      <c r="L1036" s="23"/>
      <c r="M1036" s="26" t="s">
        <v>582</v>
      </c>
      <c r="N1036" s="24">
        <v>2021</v>
      </c>
    </row>
    <row r="1037" spans="1:14">
      <c r="A1037" s="24">
        <v>2020</v>
      </c>
      <c r="B1037" s="24" t="s">
        <v>4</v>
      </c>
      <c r="C1037" s="24" t="s">
        <v>18</v>
      </c>
      <c r="D1037" s="24" t="s">
        <v>19</v>
      </c>
      <c r="E1037" s="23">
        <v>4</v>
      </c>
      <c r="F1037" s="24" t="s">
        <v>211</v>
      </c>
      <c r="G1037" s="24" t="s">
        <v>225</v>
      </c>
      <c r="H1037" s="23" t="s">
        <v>226</v>
      </c>
      <c r="I1037" s="24" t="s">
        <v>225</v>
      </c>
      <c r="J1037" s="23" t="s">
        <v>226</v>
      </c>
      <c r="K1037" s="24" t="s">
        <v>225</v>
      </c>
      <c r="L1037" s="23"/>
      <c r="M1037" s="26" t="s">
        <v>582</v>
      </c>
      <c r="N1037" s="24">
        <v>2021</v>
      </c>
    </row>
    <row r="1038" spans="1:14">
      <c r="A1038" s="24">
        <v>2020</v>
      </c>
      <c r="B1038" s="24" t="s">
        <v>136</v>
      </c>
      <c r="C1038" s="24" t="s">
        <v>176</v>
      </c>
      <c r="D1038" s="24" t="s">
        <v>182</v>
      </c>
      <c r="E1038" s="23">
        <v>2</v>
      </c>
      <c r="F1038" s="24" t="s">
        <v>211</v>
      </c>
      <c r="G1038" s="24" t="s">
        <v>225</v>
      </c>
      <c r="H1038" s="23" t="s">
        <v>226</v>
      </c>
      <c r="I1038" s="24" t="s">
        <v>225</v>
      </c>
      <c r="J1038" s="23" t="s">
        <v>226</v>
      </c>
      <c r="K1038" s="24" t="s">
        <v>225</v>
      </c>
      <c r="L1038" s="23"/>
      <c r="M1038" s="26" t="s">
        <v>582</v>
      </c>
      <c r="N1038" s="24">
        <v>2021</v>
      </c>
    </row>
    <row r="1039" spans="1:14">
      <c r="A1039" s="24">
        <v>2020</v>
      </c>
      <c r="B1039" s="24" t="s">
        <v>136</v>
      </c>
      <c r="C1039" s="24" t="s">
        <v>137</v>
      </c>
      <c r="D1039" s="24" t="s">
        <v>144</v>
      </c>
      <c r="E1039" s="23">
        <v>1</v>
      </c>
      <c r="F1039" s="24" t="s">
        <v>211</v>
      </c>
      <c r="G1039" s="24" t="s">
        <v>225</v>
      </c>
      <c r="H1039" s="23" t="s">
        <v>226</v>
      </c>
      <c r="I1039" s="24" t="s">
        <v>225</v>
      </c>
      <c r="J1039" s="23" t="s">
        <v>226</v>
      </c>
      <c r="K1039" s="24" t="s">
        <v>225</v>
      </c>
      <c r="L1039" s="23"/>
      <c r="M1039" s="26" t="s">
        <v>583</v>
      </c>
      <c r="N1039" s="24">
        <v>2021</v>
      </c>
    </row>
    <row r="1040" spans="1:14">
      <c r="A1040" s="24">
        <v>2020</v>
      </c>
      <c r="B1040" s="24" t="s">
        <v>4</v>
      </c>
      <c r="C1040" s="24" t="s">
        <v>5</v>
      </c>
      <c r="D1040" s="24" t="s">
        <v>9</v>
      </c>
      <c r="E1040" s="23">
        <v>12</v>
      </c>
      <c r="F1040" s="24" t="s">
        <v>211</v>
      </c>
      <c r="G1040" s="24" t="s">
        <v>225</v>
      </c>
      <c r="H1040" s="23" t="s">
        <v>226</v>
      </c>
      <c r="I1040" s="24" t="s">
        <v>225</v>
      </c>
      <c r="J1040" s="23" t="s">
        <v>226</v>
      </c>
      <c r="K1040" s="24" t="s">
        <v>225</v>
      </c>
      <c r="L1040" s="23"/>
      <c r="M1040" s="26" t="s">
        <v>583</v>
      </c>
      <c r="N1040" s="24">
        <v>2021</v>
      </c>
    </row>
    <row r="1041" spans="1:14">
      <c r="A1041" s="24">
        <v>2020</v>
      </c>
      <c r="B1041" s="24" t="s">
        <v>4</v>
      </c>
      <c r="C1041" s="24" t="s">
        <v>5</v>
      </c>
      <c r="D1041" s="24" t="s">
        <v>11</v>
      </c>
      <c r="E1041" s="23">
        <v>12</v>
      </c>
      <c r="F1041" s="24" t="s">
        <v>211</v>
      </c>
      <c r="G1041" s="24" t="s">
        <v>225</v>
      </c>
      <c r="H1041" s="23" t="s">
        <v>226</v>
      </c>
      <c r="I1041" s="24" t="s">
        <v>226</v>
      </c>
      <c r="J1041" s="23" t="s">
        <v>226</v>
      </c>
      <c r="K1041" s="24" t="s">
        <v>225</v>
      </c>
      <c r="L1041" s="23"/>
      <c r="M1041" s="26" t="s">
        <v>583</v>
      </c>
      <c r="N1041" s="24">
        <v>2021</v>
      </c>
    </row>
    <row r="1042" spans="1:14">
      <c r="A1042" s="24">
        <v>2020</v>
      </c>
      <c r="B1042" s="24" t="s">
        <v>136</v>
      </c>
      <c r="C1042" s="24" t="s">
        <v>682</v>
      </c>
      <c r="D1042" s="24" t="s">
        <v>167</v>
      </c>
      <c r="E1042" s="23">
        <v>2</v>
      </c>
      <c r="F1042" s="24" t="s">
        <v>211</v>
      </c>
      <c r="G1042" s="24" t="s">
        <v>225</v>
      </c>
      <c r="H1042" s="23" t="s">
        <v>226</v>
      </c>
      <c r="I1042" s="24" t="s">
        <v>225</v>
      </c>
      <c r="J1042" s="23" t="s">
        <v>226</v>
      </c>
      <c r="K1042" s="24" t="s">
        <v>225</v>
      </c>
      <c r="L1042" s="23"/>
      <c r="M1042" s="26" t="s">
        <v>584</v>
      </c>
      <c r="N1042" s="24">
        <v>2021</v>
      </c>
    </row>
    <row r="1043" spans="1:14">
      <c r="A1043" s="24">
        <v>2020</v>
      </c>
      <c r="B1043" s="24" t="s">
        <v>78</v>
      </c>
      <c r="C1043" s="24" t="s">
        <v>79</v>
      </c>
      <c r="D1043" s="24" t="s">
        <v>52</v>
      </c>
      <c r="E1043" s="23">
        <v>7</v>
      </c>
      <c r="F1043" s="24" t="s">
        <v>207</v>
      </c>
      <c r="G1043" s="24" t="s">
        <v>225</v>
      </c>
      <c r="H1043" s="23" t="s">
        <v>226</v>
      </c>
      <c r="I1043" s="24" t="s">
        <v>225</v>
      </c>
      <c r="J1043" s="23" t="s">
        <v>226</v>
      </c>
      <c r="K1043" s="24" t="s">
        <v>225</v>
      </c>
      <c r="L1043" s="23"/>
      <c r="M1043" s="26" t="s">
        <v>584</v>
      </c>
      <c r="N1043" s="24">
        <v>2021</v>
      </c>
    </row>
    <row r="1044" spans="1:14">
      <c r="A1044" s="24">
        <v>2020</v>
      </c>
      <c r="B1044" s="24" t="s">
        <v>136</v>
      </c>
      <c r="C1044" s="24" t="s">
        <v>137</v>
      </c>
      <c r="D1044" s="24" t="s">
        <v>141</v>
      </c>
      <c r="E1044" s="23">
        <v>2</v>
      </c>
      <c r="F1044" s="24" t="s">
        <v>211</v>
      </c>
      <c r="G1044" s="24" t="s">
        <v>225</v>
      </c>
      <c r="H1044" s="23" t="s">
        <v>226</v>
      </c>
      <c r="I1044" s="24" t="s">
        <v>225</v>
      </c>
      <c r="J1044" s="23" t="s">
        <v>226</v>
      </c>
      <c r="K1044" s="24" t="s">
        <v>225</v>
      </c>
      <c r="L1044" s="23"/>
      <c r="M1044" s="26" t="s">
        <v>584</v>
      </c>
      <c r="N1044" s="24">
        <v>2021</v>
      </c>
    </row>
    <row r="1045" spans="1:14">
      <c r="A1045" s="24">
        <v>2020</v>
      </c>
      <c r="B1045" s="24" t="s">
        <v>136</v>
      </c>
      <c r="C1045" s="24" t="s">
        <v>137</v>
      </c>
      <c r="D1045" s="24" t="s">
        <v>138</v>
      </c>
      <c r="E1045" s="23"/>
      <c r="F1045" s="24" t="s">
        <v>211</v>
      </c>
      <c r="G1045" s="24" t="s">
        <v>225</v>
      </c>
      <c r="H1045" s="23" t="s">
        <v>225</v>
      </c>
      <c r="I1045" s="24" t="s">
        <v>225</v>
      </c>
      <c r="J1045" s="23" t="s">
        <v>226</v>
      </c>
      <c r="K1045" s="24" t="s">
        <v>225</v>
      </c>
      <c r="L1045" s="23"/>
      <c r="M1045" s="26" t="s">
        <v>584</v>
      </c>
      <c r="N1045" s="24">
        <v>2021</v>
      </c>
    </row>
    <row r="1046" spans="1:14">
      <c r="A1046" s="24">
        <v>2020</v>
      </c>
      <c r="B1046" s="24" t="s">
        <v>78</v>
      </c>
      <c r="C1046" s="24" t="s">
        <v>95</v>
      </c>
      <c r="D1046" s="24" t="s">
        <v>96</v>
      </c>
      <c r="E1046" s="23">
        <v>3</v>
      </c>
      <c r="F1046" s="24" t="s">
        <v>211</v>
      </c>
      <c r="G1046" s="24" t="s">
        <v>225</v>
      </c>
      <c r="H1046" s="23" t="s">
        <v>226</v>
      </c>
      <c r="I1046" s="24" t="s">
        <v>225</v>
      </c>
      <c r="J1046" s="23" t="s">
        <v>226</v>
      </c>
      <c r="K1046" s="24" t="s">
        <v>225</v>
      </c>
      <c r="L1046" s="23"/>
      <c r="M1046" s="26" t="s">
        <v>584</v>
      </c>
      <c r="N1046" s="24">
        <v>2021</v>
      </c>
    </row>
    <row r="1047" spans="1:14">
      <c r="A1047" s="24">
        <v>2020</v>
      </c>
      <c r="B1047" s="24" t="s">
        <v>78</v>
      </c>
      <c r="C1047" s="24" t="s">
        <v>103</v>
      </c>
      <c r="D1047" s="24" t="s">
        <v>109</v>
      </c>
      <c r="E1047" s="23">
        <v>32</v>
      </c>
      <c r="F1047" s="24" t="s">
        <v>207</v>
      </c>
      <c r="G1047" s="24" t="s">
        <v>225</v>
      </c>
      <c r="H1047" s="23" t="s">
        <v>226</v>
      </c>
      <c r="I1047" s="24" t="s">
        <v>225</v>
      </c>
      <c r="J1047" s="23" t="s">
        <v>226</v>
      </c>
      <c r="K1047" s="24" t="s">
        <v>225</v>
      </c>
      <c r="L1047" s="23"/>
      <c r="M1047" s="26" t="s">
        <v>585</v>
      </c>
      <c r="N1047" s="24">
        <v>2021</v>
      </c>
    </row>
    <row r="1048" spans="1:14">
      <c r="A1048" s="24">
        <v>2020</v>
      </c>
      <c r="B1048" s="24" t="s">
        <v>136</v>
      </c>
      <c r="C1048" s="24" t="s">
        <v>146</v>
      </c>
      <c r="D1048" s="24" t="s">
        <v>256</v>
      </c>
      <c r="E1048" s="23">
        <v>5</v>
      </c>
      <c r="F1048" s="24" t="s">
        <v>207</v>
      </c>
      <c r="G1048" s="24" t="s">
        <v>225</v>
      </c>
      <c r="H1048" s="23" t="s">
        <v>226</v>
      </c>
      <c r="I1048" s="24" t="s">
        <v>226</v>
      </c>
      <c r="J1048" s="23" t="s">
        <v>226</v>
      </c>
      <c r="K1048" s="24" t="s">
        <v>225</v>
      </c>
      <c r="L1048" s="23"/>
      <c r="M1048" s="26" t="s">
        <v>586</v>
      </c>
      <c r="N1048" s="24">
        <v>2021</v>
      </c>
    </row>
    <row r="1049" spans="1:14">
      <c r="A1049" s="24">
        <v>2020</v>
      </c>
      <c r="B1049" s="24" t="s">
        <v>136</v>
      </c>
      <c r="C1049" s="24" t="s">
        <v>137</v>
      </c>
      <c r="D1049" s="24" t="s">
        <v>143</v>
      </c>
      <c r="E1049" s="23">
        <v>3</v>
      </c>
      <c r="F1049" s="24" t="s">
        <v>207</v>
      </c>
      <c r="G1049" s="24" t="s">
        <v>225</v>
      </c>
      <c r="H1049" s="23" t="s">
        <v>226</v>
      </c>
      <c r="I1049" s="24" t="s">
        <v>226</v>
      </c>
      <c r="J1049" s="23" t="s">
        <v>226</v>
      </c>
      <c r="K1049" s="24" t="s">
        <v>225</v>
      </c>
      <c r="L1049" s="23"/>
      <c r="M1049" s="26" t="s">
        <v>587</v>
      </c>
      <c r="N1049" s="24">
        <v>2021</v>
      </c>
    </row>
    <row r="1050" spans="1:14">
      <c r="A1050" s="24">
        <v>2020</v>
      </c>
      <c r="B1050" s="24" t="s">
        <v>4</v>
      </c>
      <c r="C1050" s="24" t="s">
        <v>18</v>
      </c>
      <c r="D1050" s="24" t="s">
        <v>22</v>
      </c>
      <c r="E1050" s="23">
        <v>11</v>
      </c>
      <c r="F1050" s="24" t="s">
        <v>211</v>
      </c>
      <c r="G1050" s="24" t="s">
        <v>225</v>
      </c>
      <c r="H1050" s="23" t="s">
        <v>226</v>
      </c>
      <c r="I1050" s="24" t="s">
        <v>225</v>
      </c>
      <c r="J1050" s="23" t="s">
        <v>226</v>
      </c>
      <c r="K1050" s="24" t="s">
        <v>225</v>
      </c>
      <c r="L1050" s="23"/>
      <c r="M1050" s="26" t="s">
        <v>587</v>
      </c>
      <c r="N1050" s="24">
        <v>2021</v>
      </c>
    </row>
    <row r="1051" spans="1:14">
      <c r="A1051" s="24">
        <v>2020</v>
      </c>
      <c r="B1051" s="24" t="s">
        <v>4</v>
      </c>
      <c r="C1051" s="24" t="s">
        <v>5</v>
      </c>
      <c r="D1051" s="24" t="s">
        <v>10</v>
      </c>
      <c r="E1051" s="23">
        <v>22</v>
      </c>
      <c r="F1051" s="24" t="s">
        <v>211</v>
      </c>
      <c r="G1051" s="24" t="s">
        <v>225</v>
      </c>
      <c r="H1051" s="23" t="s">
        <v>226</v>
      </c>
      <c r="I1051" s="24" t="s">
        <v>225</v>
      </c>
      <c r="J1051" s="23" t="s">
        <v>226</v>
      </c>
      <c r="K1051" s="24" t="s">
        <v>225</v>
      </c>
      <c r="L1051" s="23"/>
      <c r="M1051" s="26" t="s">
        <v>587</v>
      </c>
      <c r="N1051" s="24">
        <v>2021</v>
      </c>
    </row>
    <row r="1052" spans="1:14">
      <c r="A1052" s="24">
        <v>2020</v>
      </c>
      <c r="B1052" s="24" t="s">
        <v>4</v>
      </c>
      <c r="C1052" s="24" t="s">
        <v>5</v>
      </c>
      <c r="D1052" s="24" t="s">
        <v>7</v>
      </c>
      <c r="E1052" s="23">
        <v>12</v>
      </c>
      <c r="F1052" s="24" t="s">
        <v>211</v>
      </c>
      <c r="G1052" s="24" t="s">
        <v>225</v>
      </c>
      <c r="H1052" s="23" t="s">
        <v>226</v>
      </c>
      <c r="I1052" s="24" t="s">
        <v>226</v>
      </c>
      <c r="J1052" s="23" t="s">
        <v>226</v>
      </c>
      <c r="K1052" s="24" t="s">
        <v>225</v>
      </c>
      <c r="L1052" s="23"/>
      <c r="M1052" s="26" t="s">
        <v>587</v>
      </c>
      <c r="N1052" s="24">
        <v>2021</v>
      </c>
    </row>
    <row r="1053" spans="1:14">
      <c r="A1053" s="24">
        <v>2020</v>
      </c>
      <c r="B1053" s="24" t="s">
        <v>136</v>
      </c>
      <c r="C1053" s="24" t="s">
        <v>137</v>
      </c>
      <c r="D1053" s="24" t="s">
        <v>142</v>
      </c>
      <c r="E1053" s="23">
        <v>2</v>
      </c>
      <c r="F1053" s="24" t="s">
        <v>207</v>
      </c>
      <c r="G1053" s="24" t="s">
        <v>225</v>
      </c>
      <c r="H1053" s="23" t="s">
        <v>226</v>
      </c>
      <c r="I1053" s="24" t="s">
        <v>226</v>
      </c>
      <c r="J1053" s="23" t="s">
        <v>226</v>
      </c>
      <c r="K1053" s="24" t="s">
        <v>225</v>
      </c>
      <c r="L1053" s="23"/>
      <c r="M1053" s="26" t="s">
        <v>587</v>
      </c>
      <c r="N1053" s="24">
        <v>2021</v>
      </c>
    </row>
    <row r="1054" spans="1:14">
      <c r="A1054" s="24">
        <v>2020</v>
      </c>
      <c r="B1054" s="24" t="s">
        <v>4</v>
      </c>
      <c r="C1054" s="24" t="s">
        <v>14</v>
      </c>
      <c r="D1054" s="24" t="s">
        <v>15</v>
      </c>
      <c r="E1054" s="23">
        <v>5</v>
      </c>
      <c r="F1054" s="24" t="s">
        <v>211</v>
      </c>
      <c r="G1054" s="24" t="s">
        <v>225</v>
      </c>
      <c r="H1054" s="23" t="s">
        <v>226</v>
      </c>
      <c r="I1054" s="24" t="s">
        <v>225</v>
      </c>
      <c r="J1054" s="23" t="s">
        <v>226</v>
      </c>
      <c r="K1054" s="24" t="s">
        <v>225</v>
      </c>
      <c r="L1054" s="23"/>
      <c r="M1054" s="26" t="s">
        <v>587</v>
      </c>
      <c r="N1054" s="24">
        <v>2021</v>
      </c>
    </row>
    <row r="1055" spans="1:14">
      <c r="A1055" s="24">
        <v>2020</v>
      </c>
      <c r="B1055" s="24" t="s">
        <v>4</v>
      </c>
      <c r="C1055" s="24" t="s">
        <v>203</v>
      </c>
      <c r="D1055" s="24" t="s">
        <v>39</v>
      </c>
      <c r="E1055" s="23">
        <v>7</v>
      </c>
      <c r="F1055" s="24" t="s">
        <v>211</v>
      </c>
      <c r="G1055" s="24" t="s">
        <v>225</v>
      </c>
      <c r="H1055" s="23" t="s">
        <v>226</v>
      </c>
      <c r="I1055" s="24" t="s">
        <v>226</v>
      </c>
      <c r="J1055" s="23" t="s">
        <v>226</v>
      </c>
      <c r="K1055" s="24" t="s">
        <v>225</v>
      </c>
      <c r="L1055" s="23"/>
      <c r="M1055" s="26" t="s">
        <v>587</v>
      </c>
      <c r="N1055" s="24">
        <v>2021</v>
      </c>
    </row>
    <row r="1056" spans="1:14">
      <c r="A1056" s="24">
        <v>2020</v>
      </c>
      <c r="B1056" s="24" t="s">
        <v>136</v>
      </c>
      <c r="C1056" s="24" t="s">
        <v>137</v>
      </c>
      <c r="D1056" s="24" t="s">
        <v>138</v>
      </c>
      <c r="E1056" s="23">
        <v>6</v>
      </c>
      <c r="F1056" s="24" t="s">
        <v>211</v>
      </c>
      <c r="G1056" s="24" t="s">
        <v>225</v>
      </c>
      <c r="H1056" s="23" t="s">
        <v>226</v>
      </c>
      <c r="I1056" s="24" t="s">
        <v>226</v>
      </c>
      <c r="J1056" s="23" t="s">
        <v>226</v>
      </c>
      <c r="K1056" s="24" t="s">
        <v>225</v>
      </c>
      <c r="L1056" s="23"/>
      <c r="M1056" s="26" t="s">
        <v>587</v>
      </c>
      <c r="N1056" s="24">
        <v>2021</v>
      </c>
    </row>
    <row r="1057" spans="1:14">
      <c r="A1057" s="24">
        <v>2020</v>
      </c>
      <c r="B1057" s="24" t="s">
        <v>4</v>
      </c>
      <c r="C1057" s="24" t="s">
        <v>31</v>
      </c>
      <c r="D1057" s="24" t="s">
        <v>33</v>
      </c>
      <c r="E1057" s="23">
        <v>6</v>
      </c>
      <c r="F1057" s="24" t="s">
        <v>211</v>
      </c>
      <c r="G1057" s="24" t="s">
        <v>225</v>
      </c>
      <c r="H1057" s="23" t="s">
        <v>226</v>
      </c>
      <c r="I1057" s="24" t="s">
        <v>225</v>
      </c>
      <c r="J1057" s="23" t="s">
        <v>226</v>
      </c>
      <c r="K1057" s="24" t="s">
        <v>225</v>
      </c>
      <c r="L1057" s="23"/>
      <c r="M1057" s="26" t="s">
        <v>588</v>
      </c>
      <c r="N1057" s="24">
        <v>2021</v>
      </c>
    </row>
    <row r="1058" spans="1:14">
      <c r="A1058" s="24">
        <v>2020</v>
      </c>
      <c r="B1058" s="24" t="s">
        <v>4</v>
      </c>
      <c r="C1058" s="24" t="s">
        <v>23</v>
      </c>
      <c r="D1058" s="24" t="s">
        <v>25</v>
      </c>
      <c r="E1058" s="23">
        <v>5</v>
      </c>
      <c r="F1058" s="24" t="s">
        <v>207</v>
      </c>
      <c r="G1058" s="24" t="s">
        <v>225</v>
      </c>
      <c r="H1058" s="23" t="s">
        <v>226</v>
      </c>
      <c r="I1058" s="24" t="s">
        <v>225</v>
      </c>
      <c r="J1058" s="23" t="s">
        <v>226</v>
      </c>
      <c r="K1058" s="24" t="s">
        <v>225</v>
      </c>
      <c r="L1058" s="23"/>
      <c r="M1058" s="26" t="s">
        <v>588</v>
      </c>
      <c r="N1058" s="24">
        <v>2021</v>
      </c>
    </row>
    <row r="1059" spans="1:14">
      <c r="A1059" s="24">
        <v>2020</v>
      </c>
      <c r="B1059" s="24" t="s">
        <v>4</v>
      </c>
      <c r="C1059" s="24" t="s">
        <v>23</v>
      </c>
      <c r="D1059" s="24" t="s">
        <v>407</v>
      </c>
      <c r="E1059" s="23">
        <v>2</v>
      </c>
      <c r="F1059" s="24" t="s">
        <v>211</v>
      </c>
      <c r="G1059" s="23" t="s">
        <v>226</v>
      </c>
      <c r="H1059" s="23" t="s">
        <v>226</v>
      </c>
      <c r="I1059" s="24" t="s">
        <v>225</v>
      </c>
      <c r="J1059" s="23" t="s">
        <v>226</v>
      </c>
      <c r="K1059" s="24" t="s">
        <v>225</v>
      </c>
      <c r="L1059" s="23"/>
      <c r="M1059" s="26" t="s">
        <v>588</v>
      </c>
      <c r="N1059" s="24">
        <v>2021</v>
      </c>
    </row>
    <row r="1060" spans="1:14">
      <c r="A1060" s="24">
        <v>2020</v>
      </c>
      <c r="B1060" s="24" t="s">
        <v>4</v>
      </c>
      <c r="C1060" s="24" t="s">
        <v>23</v>
      </c>
      <c r="D1060" s="24" t="s">
        <v>26</v>
      </c>
      <c r="E1060" s="23">
        <v>2</v>
      </c>
      <c r="F1060" s="24" t="s">
        <v>211</v>
      </c>
      <c r="G1060" s="24" t="s">
        <v>225</v>
      </c>
      <c r="H1060" s="23" t="s">
        <v>226</v>
      </c>
      <c r="I1060" s="24" t="s">
        <v>225</v>
      </c>
      <c r="J1060" s="23" t="s">
        <v>226</v>
      </c>
      <c r="K1060" s="24" t="s">
        <v>225</v>
      </c>
      <c r="L1060" s="23"/>
      <c r="M1060" s="26" t="s">
        <v>588</v>
      </c>
      <c r="N1060" s="24">
        <v>2021</v>
      </c>
    </row>
    <row r="1061" spans="1:14">
      <c r="A1061" s="24">
        <v>2020</v>
      </c>
      <c r="B1061" s="24" t="s">
        <v>136</v>
      </c>
      <c r="C1061" s="24" t="s">
        <v>137</v>
      </c>
      <c r="D1061" s="24" t="s">
        <v>145</v>
      </c>
      <c r="E1061" s="23"/>
      <c r="F1061" s="24" t="s">
        <v>211</v>
      </c>
      <c r="G1061" s="24" t="s">
        <v>225</v>
      </c>
      <c r="H1061" s="23" t="s">
        <v>225</v>
      </c>
      <c r="I1061" s="24" t="s">
        <v>225</v>
      </c>
      <c r="J1061" s="23" t="s">
        <v>226</v>
      </c>
      <c r="K1061" s="24" t="s">
        <v>225</v>
      </c>
      <c r="L1061" s="23"/>
      <c r="M1061" s="26" t="s">
        <v>589</v>
      </c>
      <c r="N1061" s="24">
        <v>2021</v>
      </c>
    </row>
    <row r="1062" spans="1:14">
      <c r="A1062" s="24">
        <v>2020</v>
      </c>
      <c r="B1062" s="24" t="s">
        <v>136</v>
      </c>
      <c r="C1062" s="24" t="s">
        <v>152</v>
      </c>
      <c r="D1062" s="24" t="s">
        <v>159</v>
      </c>
      <c r="E1062" s="23">
        <v>35</v>
      </c>
      <c r="F1062" s="24" t="s">
        <v>207</v>
      </c>
      <c r="G1062" s="23" t="s">
        <v>226</v>
      </c>
      <c r="H1062" s="23" t="s">
        <v>226</v>
      </c>
      <c r="I1062" s="24" t="s">
        <v>225</v>
      </c>
      <c r="J1062" s="23" t="s">
        <v>226</v>
      </c>
      <c r="K1062" s="24" t="s">
        <v>225</v>
      </c>
      <c r="L1062" s="23"/>
      <c r="M1062" s="26" t="s">
        <v>589</v>
      </c>
      <c r="N1062" s="24">
        <v>2021</v>
      </c>
    </row>
    <row r="1063" spans="1:14">
      <c r="A1063" s="24">
        <v>2020</v>
      </c>
      <c r="B1063" s="24" t="s">
        <v>78</v>
      </c>
      <c r="C1063" s="24" t="s">
        <v>79</v>
      </c>
      <c r="D1063" s="24" t="s">
        <v>341</v>
      </c>
      <c r="E1063" s="23">
        <v>4</v>
      </c>
      <c r="F1063" s="24" t="s">
        <v>211</v>
      </c>
      <c r="G1063" s="23" t="s">
        <v>226</v>
      </c>
      <c r="H1063" s="23" t="s">
        <v>226</v>
      </c>
      <c r="I1063" s="24" t="s">
        <v>225</v>
      </c>
      <c r="J1063" s="23" t="s">
        <v>226</v>
      </c>
      <c r="K1063" s="24" t="s">
        <v>225</v>
      </c>
      <c r="L1063" s="23"/>
      <c r="M1063" s="26" t="s">
        <v>589</v>
      </c>
      <c r="N1063" s="24">
        <v>2021</v>
      </c>
    </row>
    <row r="1064" spans="1:14">
      <c r="A1064" s="24">
        <v>2020</v>
      </c>
      <c r="B1064" s="24" t="s">
        <v>136</v>
      </c>
      <c r="C1064" s="24" t="s">
        <v>176</v>
      </c>
      <c r="D1064" s="24" t="s">
        <v>464</v>
      </c>
      <c r="E1064" s="23">
        <v>1</v>
      </c>
      <c r="F1064" s="24" t="s">
        <v>211</v>
      </c>
      <c r="G1064" s="24" t="s">
        <v>225</v>
      </c>
      <c r="H1064" s="23" t="s">
        <v>226</v>
      </c>
      <c r="I1064" s="24" t="s">
        <v>225</v>
      </c>
      <c r="J1064" s="23" t="s">
        <v>226</v>
      </c>
      <c r="K1064" s="24" t="s">
        <v>225</v>
      </c>
      <c r="L1064" s="23"/>
      <c r="M1064" s="26" t="s">
        <v>590</v>
      </c>
      <c r="N1064" s="24">
        <v>2021</v>
      </c>
    </row>
    <row r="1065" spans="1:14">
      <c r="A1065" s="24">
        <v>2020</v>
      </c>
      <c r="B1065" s="24" t="s">
        <v>4</v>
      </c>
      <c r="C1065" s="24" t="s">
        <v>23</v>
      </c>
      <c r="D1065" s="24" t="s">
        <v>29</v>
      </c>
      <c r="E1065" s="23">
        <v>25</v>
      </c>
      <c r="F1065" s="24" t="s">
        <v>211</v>
      </c>
      <c r="G1065" s="24" t="s">
        <v>225</v>
      </c>
      <c r="H1065" s="23" t="s">
        <v>226</v>
      </c>
      <c r="I1065" s="24" t="s">
        <v>226</v>
      </c>
      <c r="J1065" s="23" t="s">
        <v>226</v>
      </c>
      <c r="K1065" s="24" t="s">
        <v>225</v>
      </c>
      <c r="L1065" s="23"/>
      <c r="M1065" s="26" t="s">
        <v>591</v>
      </c>
      <c r="N1065" s="24">
        <v>2021</v>
      </c>
    </row>
    <row r="1066" spans="1:14">
      <c r="A1066" s="24">
        <v>2020</v>
      </c>
      <c r="B1066" s="24" t="s">
        <v>4</v>
      </c>
      <c r="C1066" s="24" t="s">
        <v>23</v>
      </c>
      <c r="D1066" s="24" t="s">
        <v>29</v>
      </c>
      <c r="E1066" s="23">
        <v>2</v>
      </c>
      <c r="F1066" s="24" t="s">
        <v>211</v>
      </c>
      <c r="G1066" s="24" t="s">
        <v>225</v>
      </c>
      <c r="H1066" s="23" t="s">
        <v>226</v>
      </c>
      <c r="I1066" s="24" t="s">
        <v>225</v>
      </c>
      <c r="J1066" s="23" t="s">
        <v>226</v>
      </c>
      <c r="K1066" s="24" t="s">
        <v>225</v>
      </c>
      <c r="L1066" s="23"/>
      <c r="M1066" s="25">
        <v>44409</v>
      </c>
      <c r="N1066" s="24">
        <v>2021</v>
      </c>
    </row>
    <row r="1067" spans="1:14">
      <c r="A1067" s="24">
        <v>2020</v>
      </c>
      <c r="B1067" s="24" t="s">
        <v>136</v>
      </c>
      <c r="C1067" s="24" t="s">
        <v>146</v>
      </c>
      <c r="D1067" s="24" t="s">
        <v>151</v>
      </c>
      <c r="E1067" s="23">
        <v>5</v>
      </c>
      <c r="F1067" s="24" t="s">
        <v>211</v>
      </c>
      <c r="G1067" s="24" t="s">
        <v>225</v>
      </c>
      <c r="H1067" s="23" t="s">
        <v>226</v>
      </c>
      <c r="I1067" s="24" t="s">
        <v>225</v>
      </c>
      <c r="J1067" s="23" t="s">
        <v>226</v>
      </c>
      <c r="K1067" s="24" t="s">
        <v>225</v>
      </c>
      <c r="L1067" s="23"/>
      <c r="M1067" s="25">
        <v>44409</v>
      </c>
      <c r="N1067" s="24">
        <v>2021</v>
      </c>
    </row>
    <row r="1068" spans="1:14">
      <c r="A1068" s="24">
        <v>2020</v>
      </c>
      <c r="B1068" s="24" t="s">
        <v>136</v>
      </c>
      <c r="C1068" s="24" t="s">
        <v>146</v>
      </c>
      <c r="D1068" s="24" t="s">
        <v>150</v>
      </c>
      <c r="E1068" s="23">
        <v>1</v>
      </c>
      <c r="F1068" s="24" t="s">
        <v>211</v>
      </c>
      <c r="G1068" s="24" t="s">
        <v>225</v>
      </c>
      <c r="H1068" s="23" t="s">
        <v>226</v>
      </c>
      <c r="I1068" s="24" t="s">
        <v>225</v>
      </c>
      <c r="J1068" s="23" t="s">
        <v>226</v>
      </c>
      <c r="K1068" s="24" t="s">
        <v>225</v>
      </c>
      <c r="L1068" s="23"/>
      <c r="M1068" s="25">
        <v>44411</v>
      </c>
      <c r="N1068" s="24">
        <v>2021</v>
      </c>
    </row>
    <row r="1069" spans="1:14">
      <c r="A1069" s="24">
        <v>2020</v>
      </c>
      <c r="B1069" s="24" t="s">
        <v>136</v>
      </c>
      <c r="C1069" s="24" t="s">
        <v>146</v>
      </c>
      <c r="D1069" s="24" t="s">
        <v>148</v>
      </c>
      <c r="E1069" s="23">
        <v>3</v>
      </c>
      <c r="F1069" s="24" t="s">
        <v>207</v>
      </c>
      <c r="G1069" s="24" t="s">
        <v>225</v>
      </c>
      <c r="H1069" s="23" t="s">
        <v>226</v>
      </c>
      <c r="I1069" s="24" t="s">
        <v>225</v>
      </c>
      <c r="J1069" s="23" t="s">
        <v>226</v>
      </c>
      <c r="K1069" s="24" t="s">
        <v>225</v>
      </c>
      <c r="L1069" s="23"/>
      <c r="M1069" s="25">
        <v>44411</v>
      </c>
      <c r="N1069" s="24">
        <v>2021</v>
      </c>
    </row>
    <row r="1070" spans="1:14">
      <c r="A1070" s="24">
        <v>2020</v>
      </c>
      <c r="B1070" s="24" t="s">
        <v>136</v>
      </c>
      <c r="C1070" s="24" t="s">
        <v>137</v>
      </c>
      <c r="D1070" s="24" t="s">
        <v>140</v>
      </c>
      <c r="E1070" s="23">
        <v>1</v>
      </c>
      <c r="F1070" s="24" t="s">
        <v>207</v>
      </c>
      <c r="G1070" s="24" t="s">
        <v>225</v>
      </c>
      <c r="H1070" s="23" t="s">
        <v>226</v>
      </c>
      <c r="I1070" s="24" t="s">
        <v>225</v>
      </c>
      <c r="J1070" s="23" t="s">
        <v>226</v>
      </c>
      <c r="K1070" s="24" t="s">
        <v>225</v>
      </c>
      <c r="L1070" s="23"/>
      <c r="M1070" s="25">
        <v>44411</v>
      </c>
      <c r="N1070" s="24">
        <v>2021</v>
      </c>
    </row>
    <row r="1071" spans="1:14">
      <c r="A1071" s="24">
        <v>2020</v>
      </c>
      <c r="B1071" s="24" t="s">
        <v>136</v>
      </c>
      <c r="C1071" s="24" t="s">
        <v>176</v>
      </c>
      <c r="D1071" s="24" t="s">
        <v>188</v>
      </c>
      <c r="E1071" s="23"/>
      <c r="F1071" s="24" t="s">
        <v>207</v>
      </c>
      <c r="G1071" s="24" t="s">
        <v>225</v>
      </c>
      <c r="H1071" s="23" t="s">
        <v>225</v>
      </c>
      <c r="I1071" s="24" t="s">
        <v>225</v>
      </c>
      <c r="J1071" s="23" t="s">
        <v>226</v>
      </c>
      <c r="K1071" s="24" t="s">
        <v>225</v>
      </c>
      <c r="L1071" s="23"/>
      <c r="M1071" s="25">
        <v>44411</v>
      </c>
      <c r="N1071" s="24">
        <v>2021</v>
      </c>
    </row>
    <row r="1072" spans="1:14">
      <c r="A1072" s="24">
        <v>2020</v>
      </c>
      <c r="B1072" s="24" t="s">
        <v>136</v>
      </c>
      <c r="C1072" s="24" t="s">
        <v>176</v>
      </c>
      <c r="D1072" s="24" t="s">
        <v>177</v>
      </c>
      <c r="E1072" s="23"/>
      <c r="F1072" s="24" t="s">
        <v>207</v>
      </c>
      <c r="G1072" s="24" t="s">
        <v>225</v>
      </c>
      <c r="H1072" s="23" t="s">
        <v>225</v>
      </c>
      <c r="I1072" s="24" t="s">
        <v>225</v>
      </c>
      <c r="J1072" s="23" t="s">
        <v>226</v>
      </c>
      <c r="K1072" s="24" t="s">
        <v>225</v>
      </c>
      <c r="L1072" s="23"/>
      <c r="M1072" s="25">
        <v>44412</v>
      </c>
      <c r="N1072" s="24">
        <v>2021</v>
      </c>
    </row>
    <row r="1073" spans="1:14">
      <c r="A1073" s="24">
        <v>2020</v>
      </c>
      <c r="B1073" s="24" t="s">
        <v>136</v>
      </c>
      <c r="C1073" s="24" t="s">
        <v>176</v>
      </c>
      <c r="D1073" s="24" t="s">
        <v>177</v>
      </c>
      <c r="E1073" s="23"/>
      <c r="F1073" s="24" t="s">
        <v>211</v>
      </c>
      <c r="G1073" s="24" t="s">
        <v>225</v>
      </c>
      <c r="H1073" s="23" t="s">
        <v>225</v>
      </c>
      <c r="I1073" s="24" t="s">
        <v>225</v>
      </c>
      <c r="J1073" s="23" t="s">
        <v>226</v>
      </c>
      <c r="K1073" s="24" t="s">
        <v>225</v>
      </c>
      <c r="L1073" s="23"/>
      <c r="M1073" s="25">
        <v>44412</v>
      </c>
      <c r="N1073" s="24">
        <v>2021</v>
      </c>
    </row>
    <row r="1074" spans="1:14">
      <c r="A1074" s="24">
        <v>2020</v>
      </c>
      <c r="B1074" s="24" t="s">
        <v>136</v>
      </c>
      <c r="C1074" s="24" t="s">
        <v>176</v>
      </c>
      <c r="D1074" s="24" t="s">
        <v>409</v>
      </c>
      <c r="E1074" s="23">
        <v>2</v>
      </c>
      <c r="F1074" s="24" t="s">
        <v>207</v>
      </c>
      <c r="G1074" s="24" t="s">
        <v>225</v>
      </c>
      <c r="H1074" s="23" t="s">
        <v>226</v>
      </c>
      <c r="I1074" s="24" t="s">
        <v>226</v>
      </c>
      <c r="J1074" s="23" t="s">
        <v>226</v>
      </c>
      <c r="K1074" s="24" t="s">
        <v>225</v>
      </c>
      <c r="L1074" s="23"/>
      <c r="M1074" s="25">
        <v>44412</v>
      </c>
      <c r="N1074" s="24">
        <v>2021</v>
      </c>
    </row>
    <row r="1075" spans="1:14">
      <c r="A1075" s="24">
        <v>2020</v>
      </c>
      <c r="B1075" s="24" t="s">
        <v>78</v>
      </c>
      <c r="C1075" s="24" t="s">
        <v>80</v>
      </c>
      <c r="D1075" s="24" t="s">
        <v>84</v>
      </c>
      <c r="E1075" s="23"/>
      <c r="F1075" s="24" t="s">
        <v>211</v>
      </c>
      <c r="G1075" s="24" t="s">
        <v>225</v>
      </c>
      <c r="H1075" s="23" t="s">
        <v>225</v>
      </c>
      <c r="I1075" s="24" t="s">
        <v>226</v>
      </c>
      <c r="J1075" s="23" t="s">
        <v>226</v>
      </c>
      <c r="K1075" s="24" t="s">
        <v>225</v>
      </c>
      <c r="L1075" s="23"/>
      <c r="M1075" s="25">
        <v>44412</v>
      </c>
      <c r="N1075" s="24">
        <v>2021</v>
      </c>
    </row>
    <row r="1076" spans="1:14">
      <c r="A1076" s="24">
        <v>2020</v>
      </c>
      <c r="B1076" s="24" t="s">
        <v>78</v>
      </c>
      <c r="C1076" s="24" t="s">
        <v>683</v>
      </c>
      <c r="D1076" s="24" t="s">
        <v>115</v>
      </c>
      <c r="E1076" s="23">
        <v>1</v>
      </c>
      <c r="F1076" s="24" t="s">
        <v>207</v>
      </c>
      <c r="G1076" s="24" t="s">
        <v>225</v>
      </c>
      <c r="H1076" s="23" t="s">
        <v>226</v>
      </c>
      <c r="I1076" s="24" t="s">
        <v>225</v>
      </c>
      <c r="J1076" s="23" t="s">
        <v>226</v>
      </c>
      <c r="K1076" s="24" t="s">
        <v>225</v>
      </c>
      <c r="L1076" s="23"/>
      <c r="M1076" s="25">
        <v>44412</v>
      </c>
      <c r="N1076" s="24">
        <v>2021</v>
      </c>
    </row>
    <row r="1077" spans="1:14">
      <c r="A1077" s="24">
        <v>2020</v>
      </c>
      <c r="B1077" s="24" t="s">
        <v>136</v>
      </c>
      <c r="C1077" s="24" t="s">
        <v>176</v>
      </c>
      <c r="D1077" s="24" t="s">
        <v>177</v>
      </c>
      <c r="E1077" s="23"/>
      <c r="F1077" s="24" t="s">
        <v>211</v>
      </c>
      <c r="G1077" s="24" t="s">
        <v>225</v>
      </c>
      <c r="H1077" s="23" t="s">
        <v>225</v>
      </c>
      <c r="I1077" s="24" t="s">
        <v>226</v>
      </c>
      <c r="J1077" s="23" t="s">
        <v>226</v>
      </c>
      <c r="K1077" s="24" t="s">
        <v>225</v>
      </c>
      <c r="L1077" s="23"/>
      <c r="M1077" s="25">
        <v>44412</v>
      </c>
      <c r="N1077" s="24">
        <v>2021</v>
      </c>
    </row>
    <row r="1078" spans="1:14">
      <c r="A1078" s="24">
        <v>2020</v>
      </c>
      <c r="B1078" s="24" t="s">
        <v>136</v>
      </c>
      <c r="C1078" s="24" t="s">
        <v>682</v>
      </c>
      <c r="D1078" s="24" t="s">
        <v>167</v>
      </c>
      <c r="E1078" s="23"/>
      <c r="F1078" s="24" t="s">
        <v>211</v>
      </c>
      <c r="G1078" s="24" t="s">
        <v>225</v>
      </c>
      <c r="H1078" s="23" t="s">
        <v>225</v>
      </c>
      <c r="I1078" s="24" t="s">
        <v>225</v>
      </c>
      <c r="J1078" s="23" t="s">
        <v>226</v>
      </c>
      <c r="K1078" s="24" t="s">
        <v>225</v>
      </c>
      <c r="L1078" s="23"/>
      <c r="M1078" s="25">
        <v>44412</v>
      </c>
      <c r="N1078" s="24">
        <v>2021</v>
      </c>
    </row>
    <row r="1079" spans="1:14">
      <c r="A1079" s="24">
        <v>2020</v>
      </c>
      <c r="B1079" s="24" t="s">
        <v>136</v>
      </c>
      <c r="C1079" s="24" t="s">
        <v>686</v>
      </c>
      <c r="D1079" s="24" t="s">
        <v>592</v>
      </c>
      <c r="E1079" s="23">
        <v>1</v>
      </c>
      <c r="F1079" s="24" t="s">
        <v>207</v>
      </c>
      <c r="G1079" s="24" t="s">
        <v>225</v>
      </c>
      <c r="H1079" s="23" t="s">
        <v>226</v>
      </c>
      <c r="I1079" s="24" t="s">
        <v>225</v>
      </c>
      <c r="J1079" s="23" t="s">
        <v>226</v>
      </c>
      <c r="K1079" s="24" t="s">
        <v>225</v>
      </c>
      <c r="L1079" s="23"/>
      <c r="M1079" s="25">
        <v>44414</v>
      </c>
      <c r="N1079" s="24">
        <v>2021</v>
      </c>
    </row>
    <row r="1080" spans="1:14">
      <c r="A1080" s="24">
        <v>2020</v>
      </c>
      <c r="B1080" s="24" t="s">
        <v>4</v>
      </c>
      <c r="C1080" s="24" t="s">
        <v>5</v>
      </c>
      <c r="D1080" s="24" t="s">
        <v>8</v>
      </c>
      <c r="E1080" s="23">
        <v>1</v>
      </c>
      <c r="F1080" s="24" t="s">
        <v>211</v>
      </c>
      <c r="G1080" s="24" t="s">
        <v>225</v>
      </c>
      <c r="H1080" s="23" t="s">
        <v>226</v>
      </c>
      <c r="I1080" s="24" t="s">
        <v>225</v>
      </c>
      <c r="J1080" s="23" t="s">
        <v>226</v>
      </c>
      <c r="K1080" s="24" t="s">
        <v>225</v>
      </c>
      <c r="L1080" s="23"/>
      <c r="M1080" s="25">
        <v>44415</v>
      </c>
      <c r="N1080" s="24">
        <v>2021</v>
      </c>
    </row>
    <row r="1081" spans="1:14">
      <c r="A1081" s="24">
        <v>2020</v>
      </c>
      <c r="B1081" s="24" t="s">
        <v>78</v>
      </c>
      <c r="C1081" s="24" t="s">
        <v>103</v>
      </c>
      <c r="D1081" s="24" t="s">
        <v>109</v>
      </c>
      <c r="E1081" s="23">
        <v>1</v>
      </c>
      <c r="F1081" s="24" t="s">
        <v>211</v>
      </c>
      <c r="G1081" s="24" t="s">
        <v>225</v>
      </c>
      <c r="H1081" s="23" t="s">
        <v>226</v>
      </c>
      <c r="I1081" s="24" t="s">
        <v>225</v>
      </c>
      <c r="J1081" s="23" t="s">
        <v>226</v>
      </c>
      <c r="K1081" s="24" t="s">
        <v>225</v>
      </c>
      <c r="L1081" s="23"/>
      <c r="M1081" s="25">
        <v>44415</v>
      </c>
      <c r="N1081" s="24">
        <v>2021</v>
      </c>
    </row>
    <row r="1082" spans="1:14">
      <c r="A1082" s="24">
        <v>2020</v>
      </c>
      <c r="B1082" s="24" t="s">
        <v>78</v>
      </c>
      <c r="C1082" s="24" t="s">
        <v>95</v>
      </c>
      <c r="D1082" s="24" t="s">
        <v>99</v>
      </c>
      <c r="E1082" s="23"/>
      <c r="F1082" s="24" t="s">
        <v>211</v>
      </c>
      <c r="G1082" s="24" t="s">
        <v>225</v>
      </c>
      <c r="H1082" s="23" t="s">
        <v>225</v>
      </c>
      <c r="I1082" s="24" t="s">
        <v>225</v>
      </c>
      <c r="J1082" s="23" t="s">
        <v>226</v>
      </c>
      <c r="K1082" s="24" t="s">
        <v>225</v>
      </c>
      <c r="L1082" s="23"/>
      <c r="M1082" s="25">
        <v>44443</v>
      </c>
      <c r="N1082" s="24">
        <v>2021</v>
      </c>
    </row>
    <row r="1083" spans="1:14">
      <c r="A1083" s="24">
        <v>2020</v>
      </c>
      <c r="B1083" s="24" t="s">
        <v>136</v>
      </c>
      <c r="C1083" s="24" t="s">
        <v>176</v>
      </c>
      <c r="D1083" s="24" t="s">
        <v>179</v>
      </c>
      <c r="E1083" s="23">
        <v>2</v>
      </c>
      <c r="F1083" s="24" t="s">
        <v>211</v>
      </c>
      <c r="G1083" s="24" t="s">
        <v>225</v>
      </c>
      <c r="H1083" s="23" t="s">
        <v>226</v>
      </c>
      <c r="I1083" s="24" t="s">
        <v>225</v>
      </c>
      <c r="J1083" s="23" t="s">
        <v>226</v>
      </c>
      <c r="K1083" s="24" t="s">
        <v>225</v>
      </c>
      <c r="L1083" s="23"/>
      <c r="M1083" s="25">
        <v>44443</v>
      </c>
      <c r="N1083" s="24">
        <v>2021</v>
      </c>
    </row>
    <row r="1084" spans="1:14">
      <c r="A1084" s="24">
        <v>2020</v>
      </c>
      <c r="B1084" s="24" t="s">
        <v>136</v>
      </c>
      <c r="C1084" s="24" t="s">
        <v>176</v>
      </c>
      <c r="D1084" s="24" t="s">
        <v>177</v>
      </c>
      <c r="E1084" s="23"/>
      <c r="F1084" s="24" t="s">
        <v>207</v>
      </c>
      <c r="G1084" s="24" t="s">
        <v>225</v>
      </c>
      <c r="H1084" s="23" t="s">
        <v>225</v>
      </c>
      <c r="I1084" s="24" t="s">
        <v>225</v>
      </c>
      <c r="J1084" s="23" t="s">
        <v>226</v>
      </c>
      <c r="K1084" s="24" t="s">
        <v>225</v>
      </c>
      <c r="L1084" s="23"/>
      <c r="M1084" s="25">
        <v>44443</v>
      </c>
      <c r="N1084" s="24">
        <v>2021</v>
      </c>
    </row>
    <row r="1085" spans="1:14">
      <c r="A1085" s="24">
        <v>2020</v>
      </c>
      <c r="B1085" s="24" t="s">
        <v>4</v>
      </c>
      <c r="C1085" s="24" t="s">
        <v>23</v>
      </c>
      <c r="D1085" s="24" t="s">
        <v>25</v>
      </c>
      <c r="E1085" s="23">
        <v>3</v>
      </c>
      <c r="F1085" s="24" t="s">
        <v>211</v>
      </c>
      <c r="G1085" s="24" t="s">
        <v>225</v>
      </c>
      <c r="H1085" s="23" t="s">
        <v>226</v>
      </c>
      <c r="I1085" s="24" t="s">
        <v>225</v>
      </c>
      <c r="J1085" s="23" t="s">
        <v>226</v>
      </c>
      <c r="K1085" s="24" t="s">
        <v>225</v>
      </c>
      <c r="L1085" s="23"/>
      <c r="M1085" s="25">
        <v>44443</v>
      </c>
      <c r="N1085" s="24">
        <v>2021</v>
      </c>
    </row>
    <row r="1086" spans="1:14">
      <c r="A1086" s="24">
        <v>2020</v>
      </c>
      <c r="B1086" s="24" t="s">
        <v>136</v>
      </c>
      <c r="C1086" s="24" t="s">
        <v>176</v>
      </c>
      <c r="D1086" s="24" t="s">
        <v>177</v>
      </c>
      <c r="E1086" s="23">
        <v>1</v>
      </c>
      <c r="F1086" s="24" t="s">
        <v>207</v>
      </c>
      <c r="G1086" s="24" t="s">
        <v>225</v>
      </c>
      <c r="H1086" s="23" t="s">
        <v>226</v>
      </c>
      <c r="I1086" s="24" t="s">
        <v>225</v>
      </c>
      <c r="J1086" s="23" t="s">
        <v>226</v>
      </c>
      <c r="K1086" s="24" t="s">
        <v>225</v>
      </c>
      <c r="L1086" s="23"/>
      <c r="M1086" s="25">
        <v>44443</v>
      </c>
      <c r="N1086" s="24">
        <v>2021</v>
      </c>
    </row>
    <row r="1087" spans="1:14">
      <c r="A1087" s="24">
        <v>2020</v>
      </c>
      <c r="B1087" s="24" t="s">
        <v>78</v>
      </c>
      <c r="C1087" s="24" t="s">
        <v>103</v>
      </c>
      <c r="D1087" s="24" t="s">
        <v>106</v>
      </c>
      <c r="E1087" s="23">
        <v>7</v>
      </c>
      <c r="F1087" s="24" t="s">
        <v>207</v>
      </c>
      <c r="G1087" s="23" t="s">
        <v>226</v>
      </c>
      <c r="H1087" s="23" t="s">
        <v>226</v>
      </c>
      <c r="I1087" s="24" t="s">
        <v>226</v>
      </c>
      <c r="J1087" s="23" t="s">
        <v>226</v>
      </c>
      <c r="K1087" s="24" t="s">
        <v>225</v>
      </c>
      <c r="L1087" s="23"/>
      <c r="M1087" s="25">
        <v>44443</v>
      </c>
      <c r="N1087" s="24">
        <v>2021</v>
      </c>
    </row>
    <row r="1088" spans="1:14">
      <c r="A1088" s="24">
        <v>2020</v>
      </c>
      <c r="B1088" s="24" t="s">
        <v>78</v>
      </c>
      <c r="C1088" s="24" t="s">
        <v>95</v>
      </c>
      <c r="D1088" s="24" t="s">
        <v>101</v>
      </c>
      <c r="E1088" s="23">
        <v>3</v>
      </c>
      <c r="F1088" s="24" t="s">
        <v>211</v>
      </c>
      <c r="G1088" s="24" t="s">
        <v>225</v>
      </c>
      <c r="H1088" s="23" t="s">
        <v>226</v>
      </c>
      <c r="I1088" s="24" t="s">
        <v>225</v>
      </c>
      <c r="J1088" s="23" t="s">
        <v>226</v>
      </c>
      <c r="K1088" s="24" t="s">
        <v>225</v>
      </c>
      <c r="L1088" s="23"/>
      <c r="M1088" s="25">
        <v>44443</v>
      </c>
      <c r="N1088" s="24">
        <v>2021</v>
      </c>
    </row>
    <row r="1089" spans="1:14">
      <c r="A1089" s="24">
        <v>2020</v>
      </c>
      <c r="B1089" s="24" t="s">
        <v>4</v>
      </c>
      <c r="C1089" s="24" t="s">
        <v>18</v>
      </c>
      <c r="D1089" s="24" t="s">
        <v>21</v>
      </c>
      <c r="E1089" s="23">
        <v>3</v>
      </c>
      <c r="F1089" s="24" t="s">
        <v>211</v>
      </c>
      <c r="G1089" s="24" t="s">
        <v>225</v>
      </c>
      <c r="H1089" s="23" t="s">
        <v>226</v>
      </c>
      <c r="I1089" s="24" t="s">
        <v>225</v>
      </c>
      <c r="J1089" s="23" t="s">
        <v>226</v>
      </c>
      <c r="K1089" s="24" t="s">
        <v>225</v>
      </c>
      <c r="L1089" s="23"/>
      <c r="M1089" s="25">
        <v>44445</v>
      </c>
      <c r="N1089" s="24">
        <v>2021</v>
      </c>
    </row>
    <row r="1090" spans="1:14">
      <c r="A1090" s="24">
        <v>2020</v>
      </c>
      <c r="B1090" s="24" t="s">
        <v>78</v>
      </c>
      <c r="C1090" s="24" t="s">
        <v>681</v>
      </c>
      <c r="D1090" s="24" t="s">
        <v>248</v>
      </c>
      <c r="E1090" s="23"/>
      <c r="F1090" s="24" t="s">
        <v>207</v>
      </c>
      <c r="G1090" s="24" t="s">
        <v>225</v>
      </c>
      <c r="H1090" s="23" t="s">
        <v>225</v>
      </c>
      <c r="I1090" s="24" t="s">
        <v>226</v>
      </c>
      <c r="J1090" s="23" t="s">
        <v>226</v>
      </c>
      <c r="K1090" s="24" t="s">
        <v>225</v>
      </c>
      <c r="L1090" s="23"/>
      <c r="M1090" s="25">
        <v>44446</v>
      </c>
      <c r="N1090" s="24">
        <v>2021</v>
      </c>
    </row>
    <row r="1091" spans="1:14">
      <c r="A1091" s="24">
        <v>2020</v>
      </c>
      <c r="B1091" s="24" t="s">
        <v>4</v>
      </c>
      <c r="C1091" s="24" t="s">
        <v>23</v>
      </c>
      <c r="D1091" s="24" t="s">
        <v>26</v>
      </c>
      <c r="E1091" s="23">
        <v>2</v>
      </c>
      <c r="F1091" s="24" t="s">
        <v>207</v>
      </c>
      <c r="G1091" s="24" t="s">
        <v>225</v>
      </c>
      <c r="H1091" s="23" t="s">
        <v>226</v>
      </c>
      <c r="I1091" s="24" t="s">
        <v>225</v>
      </c>
      <c r="J1091" s="23" t="s">
        <v>226</v>
      </c>
      <c r="K1091" s="24" t="s">
        <v>225</v>
      </c>
      <c r="L1091" s="23"/>
      <c r="M1091" s="25">
        <v>44446</v>
      </c>
      <c r="N1091" s="24">
        <v>2021</v>
      </c>
    </row>
    <row r="1092" spans="1:14">
      <c r="A1092" s="24">
        <v>2020</v>
      </c>
      <c r="B1092" s="24" t="s">
        <v>78</v>
      </c>
      <c r="C1092" s="24" t="s">
        <v>88</v>
      </c>
      <c r="D1092" s="24" t="s">
        <v>89</v>
      </c>
      <c r="E1092" s="23">
        <v>1</v>
      </c>
      <c r="F1092" s="24" t="s">
        <v>211</v>
      </c>
      <c r="G1092" s="24" t="s">
        <v>225</v>
      </c>
      <c r="H1092" s="23" t="s">
        <v>226</v>
      </c>
      <c r="I1092" s="24" t="s">
        <v>226</v>
      </c>
      <c r="J1092" s="23" t="s">
        <v>226</v>
      </c>
      <c r="K1092" s="24" t="s">
        <v>225</v>
      </c>
      <c r="L1092" s="23"/>
      <c r="M1092" s="25">
        <v>44446</v>
      </c>
      <c r="N1092" s="24">
        <v>2021</v>
      </c>
    </row>
    <row r="1093" spans="1:14">
      <c r="A1093" s="24">
        <v>2020</v>
      </c>
      <c r="B1093" s="24" t="s">
        <v>78</v>
      </c>
      <c r="C1093" s="24" t="s">
        <v>95</v>
      </c>
      <c r="D1093" s="24" t="s">
        <v>102</v>
      </c>
      <c r="E1093" s="23">
        <v>2</v>
      </c>
      <c r="F1093" s="24" t="s">
        <v>207</v>
      </c>
      <c r="G1093" s="24" t="s">
        <v>225</v>
      </c>
      <c r="H1093" s="23" t="s">
        <v>226</v>
      </c>
      <c r="I1093" s="24" t="s">
        <v>225</v>
      </c>
      <c r="J1093" s="23" t="s">
        <v>226</v>
      </c>
      <c r="K1093" s="24" t="s">
        <v>225</v>
      </c>
      <c r="L1093" s="23"/>
      <c r="M1093" s="25">
        <v>44446</v>
      </c>
      <c r="N1093" s="24">
        <v>2021</v>
      </c>
    </row>
    <row r="1094" spans="1:14">
      <c r="A1094" s="24">
        <v>2020</v>
      </c>
      <c r="B1094" s="24" t="s">
        <v>136</v>
      </c>
      <c r="C1094" s="24" t="s">
        <v>137</v>
      </c>
      <c r="D1094" s="24" t="s">
        <v>140</v>
      </c>
      <c r="E1094" s="23">
        <v>18</v>
      </c>
      <c r="F1094" s="24" t="s">
        <v>211</v>
      </c>
      <c r="G1094" s="24" t="s">
        <v>225</v>
      </c>
      <c r="H1094" s="23" t="s">
        <v>226</v>
      </c>
      <c r="I1094" s="24" t="s">
        <v>225</v>
      </c>
      <c r="J1094" s="23" t="s">
        <v>226</v>
      </c>
      <c r="K1094" s="24" t="s">
        <v>225</v>
      </c>
      <c r="L1094" s="23"/>
      <c r="M1094" s="25">
        <v>44446</v>
      </c>
      <c r="N1094" s="24">
        <v>2021</v>
      </c>
    </row>
    <row r="1095" spans="1:14">
      <c r="A1095" s="24">
        <v>2020</v>
      </c>
      <c r="B1095" s="24" t="s">
        <v>136</v>
      </c>
      <c r="C1095" s="24" t="s">
        <v>137</v>
      </c>
      <c r="D1095" s="24" t="s">
        <v>138</v>
      </c>
      <c r="E1095" s="23">
        <v>4</v>
      </c>
      <c r="F1095" s="24" t="s">
        <v>207</v>
      </c>
      <c r="G1095" s="24" t="s">
        <v>225</v>
      </c>
      <c r="H1095" s="23" t="s">
        <v>226</v>
      </c>
      <c r="I1095" s="24" t="s">
        <v>225</v>
      </c>
      <c r="J1095" s="23" t="s">
        <v>226</v>
      </c>
      <c r="K1095" s="24" t="s">
        <v>225</v>
      </c>
      <c r="L1095" s="23"/>
      <c r="M1095" s="25">
        <v>44446</v>
      </c>
      <c r="N1095" s="24">
        <v>2021</v>
      </c>
    </row>
    <row r="1096" spans="1:14">
      <c r="A1096" s="24">
        <v>2020</v>
      </c>
      <c r="B1096" s="24" t="s">
        <v>78</v>
      </c>
      <c r="C1096" s="24" t="s">
        <v>88</v>
      </c>
      <c r="D1096" s="24" t="s">
        <v>89</v>
      </c>
      <c r="E1096" s="23">
        <v>5</v>
      </c>
      <c r="F1096" s="24" t="s">
        <v>211</v>
      </c>
      <c r="G1096" s="24" t="s">
        <v>225</v>
      </c>
      <c r="H1096" s="23" t="s">
        <v>226</v>
      </c>
      <c r="I1096" s="24" t="s">
        <v>226</v>
      </c>
      <c r="J1096" s="23" t="s">
        <v>226</v>
      </c>
      <c r="K1096" s="24" t="s">
        <v>225</v>
      </c>
      <c r="L1096" s="23"/>
      <c r="M1096" s="25">
        <v>44446</v>
      </c>
      <c r="N1096" s="24">
        <v>2021</v>
      </c>
    </row>
    <row r="1097" spans="1:14">
      <c r="A1097" s="24">
        <v>2020</v>
      </c>
      <c r="B1097" s="24" t="s">
        <v>78</v>
      </c>
      <c r="C1097" s="24" t="s">
        <v>683</v>
      </c>
      <c r="D1097" s="24" t="s">
        <v>369</v>
      </c>
      <c r="E1097" s="23"/>
      <c r="F1097" s="24" t="s">
        <v>207</v>
      </c>
      <c r="G1097" s="24" t="s">
        <v>225</v>
      </c>
      <c r="H1097" s="23" t="s">
        <v>225</v>
      </c>
      <c r="I1097" s="24" t="s">
        <v>225</v>
      </c>
      <c r="J1097" s="23" t="s">
        <v>226</v>
      </c>
      <c r="K1097" s="24" t="s">
        <v>225</v>
      </c>
      <c r="L1097" s="23"/>
      <c r="M1097" s="25">
        <v>44446</v>
      </c>
      <c r="N1097" s="24">
        <v>2021</v>
      </c>
    </row>
    <row r="1098" spans="1:14">
      <c r="A1098" s="24">
        <v>2020</v>
      </c>
      <c r="B1098" s="24" t="s">
        <v>4</v>
      </c>
      <c r="C1098" s="24" t="s">
        <v>23</v>
      </c>
      <c r="D1098" s="24" t="s">
        <v>27</v>
      </c>
      <c r="E1098" s="23">
        <v>21</v>
      </c>
      <c r="F1098" s="24" t="s">
        <v>211</v>
      </c>
      <c r="G1098" s="24" t="s">
        <v>225</v>
      </c>
      <c r="H1098" s="23" t="s">
        <v>226</v>
      </c>
      <c r="I1098" s="24" t="s">
        <v>225</v>
      </c>
      <c r="J1098" s="23" t="s">
        <v>226</v>
      </c>
      <c r="K1098" s="24" t="s">
        <v>225</v>
      </c>
      <c r="L1098" s="23"/>
      <c r="M1098" s="25">
        <v>44446</v>
      </c>
      <c r="N1098" s="24">
        <v>2021</v>
      </c>
    </row>
    <row r="1099" spans="1:14">
      <c r="A1099" s="24">
        <v>2020</v>
      </c>
      <c r="B1099" s="24" t="s">
        <v>78</v>
      </c>
      <c r="C1099" s="24" t="s">
        <v>80</v>
      </c>
      <c r="D1099" s="24" t="s">
        <v>85</v>
      </c>
      <c r="E1099" s="23">
        <v>1</v>
      </c>
      <c r="F1099" s="24" t="s">
        <v>211</v>
      </c>
      <c r="G1099" s="24" t="s">
        <v>225</v>
      </c>
      <c r="H1099" s="23" t="s">
        <v>226</v>
      </c>
      <c r="I1099" s="24" t="s">
        <v>226</v>
      </c>
      <c r="J1099" s="23" t="s">
        <v>226</v>
      </c>
      <c r="K1099" s="24" t="s">
        <v>225</v>
      </c>
      <c r="L1099" s="23"/>
      <c r="M1099" s="25">
        <v>44471</v>
      </c>
      <c r="N1099" s="24">
        <v>2021</v>
      </c>
    </row>
    <row r="1100" spans="1:14">
      <c r="A1100" s="24">
        <v>2020</v>
      </c>
      <c r="B1100" s="24" t="s">
        <v>136</v>
      </c>
      <c r="C1100" s="24" t="s">
        <v>137</v>
      </c>
      <c r="D1100" s="24" t="s">
        <v>140</v>
      </c>
      <c r="E1100" s="23">
        <v>1</v>
      </c>
      <c r="F1100" s="24" t="s">
        <v>211</v>
      </c>
      <c r="G1100" s="24" t="s">
        <v>225</v>
      </c>
      <c r="H1100" s="23" t="s">
        <v>226</v>
      </c>
      <c r="I1100" s="24" t="s">
        <v>225</v>
      </c>
      <c r="J1100" s="23" t="s">
        <v>226</v>
      </c>
      <c r="K1100" s="24" t="s">
        <v>225</v>
      </c>
      <c r="L1100" s="23"/>
      <c r="M1100" s="25">
        <v>44471</v>
      </c>
      <c r="N1100" s="24">
        <v>2021</v>
      </c>
    </row>
    <row r="1101" spans="1:14">
      <c r="A1101" s="24">
        <v>2020</v>
      </c>
      <c r="B1101" s="24" t="s">
        <v>78</v>
      </c>
      <c r="C1101" s="24" t="s">
        <v>103</v>
      </c>
      <c r="D1101" s="24" t="s">
        <v>109</v>
      </c>
      <c r="E1101" s="23">
        <v>4</v>
      </c>
      <c r="F1101" s="24" t="s">
        <v>211</v>
      </c>
      <c r="G1101" s="24" t="s">
        <v>225</v>
      </c>
      <c r="H1101" s="23" t="s">
        <v>226</v>
      </c>
      <c r="I1101" s="24" t="s">
        <v>225</v>
      </c>
      <c r="J1101" s="23" t="s">
        <v>226</v>
      </c>
      <c r="K1101" s="24" t="s">
        <v>225</v>
      </c>
      <c r="L1101" s="23"/>
      <c r="M1101" s="25">
        <v>44471</v>
      </c>
      <c r="N1101" s="24">
        <v>2021</v>
      </c>
    </row>
    <row r="1102" spans="1:14">
      <c r="A1102" s="24">
        <v>2020</v>
      </c>
      <c r="B1102" s="24" t="s">
        <v>136</v>
      </c>
      <c r="C1102" s="24" t="s">
        <v>137</v>
      </c>
      <c r="D1102" s="24" t="s">
        <v>138</v>
      </c>
      <c r="E1102" s="23">
        <v>1</v>
      </c>
      <c r="F1102" s="24" t="s">
        <v>207</v>
      </c>
      <c r="G1102" s="24" t="s">
        <v>225</v>
      </c>
      <c r="H1102" s="23" t="s">
        <v>226</v>
      </c>
      <c r="I1102" s="24" t="s">
        <v>225</v>
      </c>
      <c r="J1102" s="23" t="s">
        <v>226</v>
      </c>
      <c r="K1102" s="24" t="s">
        <v>225</v>
      </c>
      <c r="L1102" s="23"/>
      <c r="M1102" s="25">
        <v>44472</v>
      </c>
      <c r="N1102" s="24">
        <v>2021</v>
      </c>
    </row>
    <row r="1103" spans="1:14">
      <c r="A1103" s="24">
        <v>2020</v>
      </c>
      <c r="B1103" s="24" t="s">
        <v>136</v>
      </c>
      <c r="C1103" s="24" t="s">
        <v>176</v>
      </c>
      <c r="D1103" s="24" t="s">
        <v>178</v>
      </c>
      <c r="E1103" s="23"/>
      <c r="F1103" s="24" t="s">
        <v>207</v>
      </c>
      <c r="G1103" s="24" t="s">
        <v>225</v>
      </c>
      <c r="H1103" s="23" t="s">
        <v>225</v>
      </c>
      <c r="I1103" s="24" t="s">
        <v>225</v>
      </c>
      <c r="J1103" s="23" t="s">
        <v>226</v>
      </c>
      <c r="K1103" s="24" t="s">
        <v>225</v>
      </c>
      <c r="L1103" s="23"/>
      <c r="M1103" s="25">
        <v>44472</v>
      </c>
      <c r="N1103" s="24">
        <v>2021</v>
      </c>
    </row>
    <row r="1104" spans="1:14">
      <c r="A1104" s="24">
        <v>2020</v>
      </c>
      <c r="B1104" s="24" t="s">
        <v>136</v>
      </c>
      <c r="C1104" s="24" t="s">
        <v>682</v>
      </c>
      <c r="D1104" s="24" t="s">
        <v>167</v>
      </c>
      <c r="E1104" s="23">
        <v>3</v>
      </c>
      <c r="F1104" s="24" t="s">
        <v>211</v>
      </c>
      <c r="G1104" s="23" t="s">
        <v>226</v>
      </c>
      <c r="H1104" s="23" t="s">
        <v>226</v>
      </c>
      <c r="I1104" s="24" t="s">
        <v>226</v>
      </c>
      <c r="J1104" s="23" t="s">
        <v>226</v>
      </c>
      <c r="K1104" s="24" t="s">
        <v>225</v>
      </c>
      <c r="L1104" s="23"/>
      <c r="M1104" s="25">
        <v>44474</v>
      </c>
      <c r="N1104" s="24">
        <v>2021</v>
      </c>
    </row>
    <row r="1105" spans="1:14">
      <c r="A1105" s="24">
        <v>2020</v>
      </c>
      <c r="B1105" s="24" t="s">
        <v>136</v>
      </c>
      <c r="C1105" s="24" t="s">
        <v>137</v>
      </c>
      <c r="D1105" s="24" t="s">
        <v>140</v>
      </c>
      <c r="E1105" s="23">
        <v>8</v>
      </c>
      <c r="F1105" s="24" t="s">
        <v>211</v>
      </c>
      <c r="G1105" s="24" t="s">
        <v>225</v>
      </c>
      <c r="H1105" s="23" t="s">
        <v>226</v>
      </c>
      <c r="I1105" s="24" t="s">
        <v>226</v>
      </c>
      <c r="J1105" s="23" t="s">
        <v>226</v>
      </c>
      <c r="K1105" s="24" t="s">
        <v>225</v>
      </c>
      <c r="L1105" s="23"/>
      <c r="M1105" s="25">
        <v>44475</v>
      </c>
      <c r="N1105" s="24">
        <v>2021</v>
      </c>
    </row>
    <row r="1106" spans="1:14">
      <c r="A1106" s="24">
        <v>2020</v>
      </c>
      <c r="B1106" s="24" t="s">
        <v>4</v>
      </c>
      <c r="C1106" s="24" t="s">
        <v>23</v>
      </c>
      <c r="D1106" s="24" t="s">
        <v>27</v>
      </c>
      <c r="E1106" s="23">
        <v>14</v>
      </c>
      <c r="F1106" s="24" t="s">
        <v>211</v>
      </c>
      <c r="G1106" s="24" t="s">
        <v>225</v>
      </c>
      <c r="H1106" s="23" t="s">
        <v>226</v>
      </c>
      <c r="I1106" s="24" t="s">
        <v>225</v>
      </c>
      <c r="J1106" s="23" t="s">
        <v>226</v>
      </c>
      <c r="K1106" s="24" t="s">
        <v>225</v>
      </c>
      <c r="L1106" s="23"/>
      <c r="M1106" s="25">
        <v>44501</v>
      </c>
      <c r="N1106" s="24">
        <v>2021</v>
      </c>
    </row>
    <row r="1107" spans="1:14">
      <c r="A1107" s="24">
        <v>2020</v>
      </c>
      <c r="B1107" s="24" t="s">
        <v>136</v>
      </c>
      <c r="C1107" s="24" t="s">
        <v>682</v>
      </c>
      <c r="D1107" s="24" t="s">
        <v>167</v>
      </c>
      <c r="E1107" s="23"/>
      <c r="F1107" s="24" t="s">
        <v>211</v>
      </c>
      <c r="G1107" s="24" t="s">
        <v>225</v>
      </c>
      <c r="H1107" s="23" t="s">
        <v>225</v>
      </c>
      <c r="I1107" s="24" t="s">
        <v>225</v>
      </c>
      <c r="J1107" s="23" t="s">
        <v>226</v>
      </c>
      <c r="K1107" s="24" t="s">
        <v>225</v>
      </c>
      <c r="L1107" s="23"/>
      <c r="M1107" s="25">
        <v>44503</v>
      </c>
      <c r="N1107" s="24">
        <v>2021</v>
      </c>
    </row>
    <row r="1108" spans="1:14">
      <c r="A1108" s="24">
        <v>2020</v>
      </c>
      <c r="B1108" s="24" t="s">
        <v>4</v>
      </c>
      <c r="C1108" s="24" t="s">
        <v>203</v>
      </c>
      <c r="D1108" s="24" t="s">
        <v>42</v>
      </c>
      <c r="E1108" s="23">
        <v>1</v>
      </c>
      <c r="F1108" s="24" t="s">
        <v>207</v>
      </c>
      <c r="G1108" s="24" t="s">
        <v>225</v>
      </c>
      <c r="H1108" s="23" t="s">
        <v>226</v>
      </c>
      <c r="I1108" s="24" t="s">
        <v>226</v>
      </c>
      <c r="J1108" s="23" t="s">
        <v>226</v>
      </c>
      <c r="K1108" s="24" t="s">
        <v>225</v>
      </c>
      <c r="L1108" s="23"/>
      <c r="M1108" s="25">
        <v>44503</v>
      </c>
      <c r="N1108" s="24">
        <v>2021</v>
      </c>
    </row>
    <row r="1109" spans="1:14">
      <c r="A1109" s="24">
        <v>2020</v>
      </c>
      <c r="B1109" s="24" t="s">
        <v>4</v>
      </c>
      <c r="C1109" s="24" t="s">
        <v>31</v>
      </c>
      <c r="D1109" s="24" t="s">
        <v>33</v>
      </c>
      <c r="E1109" s="23">
        <v>1</v>
      </c>
      <c r="F1109" s="24" t="s">
        <v>211</v>
      </c>
      <c r="G1109" s="24" t="s">
        <v>225</v>
      </c>
      <c r="H1109" s="23" t="s">
        <v>226</v>
      </c>
      <c r="I1109" s="24" t="s">
        <v>225</v>
      </c>
      <c r="J1109" s="23" t="s">
        <v>226</v>
      </c>
      <c r="K1109" s="24" t="s">
        <v>225</v>
      </c>
      <c r="L1109" s="23"/>
      <c r="M1109" s="25">
        <v>44503</v>
      </c>
      <c r="N1109" s="24">
        <v>2021</v>
      </c>
    </row>
    <row r="1110" spans="1:14">
      <c r="A1110" s="24">
        <v>2020</v>
      </c>
      <c r="B1110" s="24" t="s">
        <v>4</v>
      </c>
      <c r="C1110" s="24" t="s">
        <v>23</v>
      </c>
      <c r="D1110" s="24" t="s">
        <v>29</v>
      </c>
      <c r="E1110" s="23">
        <v>9</v>
      </c>
      <c r="F1110" s="24" t="s">
        <v>211</v>
      </c>
      <c r="G1110" s="24" t="s">
        <v>225</v>
      </c>
      <c r="H1110" s="23" t="s">
        <v>226</v>
      </c>
      <c r="I1110" s="24" t="s">
        <v>226</v>
      </c>
      <c r="J1110" s="23" t="s">
        <v>226</v>
      </c>
      <c r="K1110" s="24" t="s">
        <v>225</v>
      </c>
      <c r="L1110" s="23"/>
      <c r="M1110" s="25">
        <v>44506</v>
      </c>
      <c r="N1110" s="24">
        <v>2021</v>
      </c>
    </row>
    <row r="1111" spans="1:14">
      <c r="A1111" s="24">
        <v>2020</v>
      </c>
      <c r="B1111" s="24" t="s">
        <v>78</v>
      </c>
      <c r="C1111" s="24" t="s">
        <v>103</v>
      </c>
      <c r="D1111" s="24" t="s">
        <v>111</v>
      </c>
      <c r="E1111" s="23">
        <v>6</v>
      </c>
      <c r="F1111" s="24" t="s">
        <v>211</v>
      </c>
      <c r="G1111" s="24" t="s">
        <v>225</v>
      </c>
      <c r="H1111" s="23" t="s">
        <v>226</v>
      </c>
      <c r="I1111" s="24" t="s">
        <v>226</v>
      </c>
      <c r="J1111" s="23" t="s">
        <v>226</v>
      </c>
      <c r="K1111" s="24" t="s">
        <v>225</v>
      </c>
      <c r="L1111" s="23"/>
      <c r="M1111" s="25">
        <v>44506</v>
      </c>
      <c r="N1111" s="24">
        <v>2021</v>
      </c>
    </row>
    <row r="1112" spans="1:14">
      <c r="A1112" s="24">
        <v>2020</v>
      </c>
      <c r="B1112" s="24" t="s">
        <v>136</v>
      </c>
      <c r="C1112" s="24" t="s">
        <v>176</v>
      </c>
      <c r="D1112" s="24" t="s">
        <v>180</v>
      </c>
      <c r="E1112" s="23">
        <v>2</v>
      </c>
      <c r="F1112" s="24" t="s">
        <v>211</v>
      </c>
      <c r="G1112" s="24" t="s">
        <v>225</v>
      </c>
      <c r="H1112" s="23" t="s">
        <v>226</v>
      </c>
      <c r="I1112" s="24" t="s">
        <v>226</v>
      </c>
      <c r="J1112" s="23" t="s">
        <v>226</v>
      </c>
      <c r="K1112" s="24" t="s">
        <v>225</v>
      </c>
      <c r="L1112" s="23"/>
      <c r="M1112" s="25">
        <v>44506</v>
      </c>
      <c r="N1112" s="24">
        <v>2021</v>
      </c>
    </row>
    <row r="1113" spans="1:14">
      <c r="A1113" s="24">
        <v>2020</v>
      </c>
      <c r="B1113" s="24" t="s">
        <v>4</v>
      </c>
      <c r="C1113" s="24" t="s">
        <v>23</v>
      </c>
      <c r="D1113" s="24" t="s">
        <v>27</v>
      </c>
      <c r="E1113" s="23">
        <v>18</v>
      </c>
      <c r="F1113" s="24" t="s">
        <v>211</v>
      </c>
      <c r="G1113" s="24" t="s">
        <v>225</v>
      </c>
      <c r="H1113" s="23" t="s">
        <v>226</v>
      </c>
      <c r="I1113" s="24" t="s">
        <v>225</v>
      </c>
      <c r="J1113" s="23" t="s">
        <v>226</v>
      </c>
      <c r="K1113" s="24" t="s">
        <v>225</v>
      </c>
      <c r="L1113" s="23"/>
      <c r="M1113" s="25">
        <v>44506</v>
      </c>
      <c r="N1113" s="24">
        <v>2021</v>
      </c>
    </row>
    <row r="1114" spans="1:14">
      <c r="A1114" s="24">
        <v>2020</v>
      </c>
      <c r="B1114" s="24" t="s">
        <v>136</v>
      </c>
      <c r="C1114" s="24" t="s">
        <v>176</v>
      </c>
      <c r="D1114" s="24" t="s">
        <v>186</v>
      </c>
      <c r="E1114" s="23">
        <v>2</v>
      </c>
      <c r="F1114" s="24" t="s">
        <v>207</v>
      </c>
      <c r="G1114" s="24" t="s">
        <v>225</v>
      </c>
      <c r="H1114" s="23" t="s">
        <v>226</v>
      </c>
      <c r="I1114" s="24" t="s">
        <v>225</v>
      </c>
      <c r="J1114" s="23" t="s">
        <v>226</v>
      </c>
      <c r="K1114" s="24" t="s">
        <v>225</v>
      </c>
      <c r="L1114" s="23"/>
      <c r="M1114" s="25">
        <v>44532</v>
      </c>
      <c r="N1114" s="24">
        <v>2021</v>
      </c>
    </row>
    <row r="1115" spans="1:14">
      <c r="A1115" s="24">
        <v>2020</v>
      </c>
      <c r="B1115" s="24" t="s">
        <v>4</v>
      </c>
      <c r="C1115" s="24" t="s">
        <v>5</v>
      </c>
      <c r="D1115" s="24" t="s">
        <v>7</v>
      </c>
      <c r="E1115" s="23">
        <v>25</v>
      </c>
      <c r="F1115" s="24" t="s">
        <v>207</v>
      </c>
      <c r="G1115" s="24" t="s">
        <v>225</v>
      </c>
      <c r="H1115" s="23" t="s">
        <v>226</v>
      </c>
      <c r="I1115" s="24" t="s">
        <v>226</v>
      </c>
      <c r="J1115" s="23" t="s">
        <v>226</v>
      </c>
      <c r="K1115" s="24" t="s">
        <v>225</v>
      </c>
      <c r="L1115" s="23"/>
      <c r="M1115" s="25">
        <v>44532</v>
      </c>
      <c r="N1115" s="24">
        <v>2021</v>
      </c>
    </row>
    <row r="1116" spans="1:14">
      <c r="A1116" s="24">
        <v>2020</v>
      </c>
      <c r="B1116" s="24" t="s">
        <v>136</v>
      </c>
      <c r="C1116" s="24" t="s">
        <v>137</v>
      </c>
      <c r="D1116" s="24" t="s">
        <v>145</v>
      </c>
      <c r="E1116" s="23">
        <v>1</v>
      </c>
      <c r="F1116" s="24" t="s">
        <v>211</v>
      </c>
      <c r="G1116" s="24" t="s">
        <v>225</v>
      </c>
      <c r="H1116" s="23" t="s">
        <v>226</v>
      </c>
      <c r="I1116" s="24" t="s">
        <v>226</v>
      </c>
      <c r="J1116" s="23" t="s">
        <v>226</v>
      </c>
      <c r="K1116" s="24" t="s">
        <v>225</v>
      </c>
      <c r="L1116" s="23"/>
      <c r="M1116" s="25">
        <v>44532</v>
      </c>
      <c r="N1116" s="24">
        <v>2021</v>
      </c>
    </row>
    <row r="1117" spans="1:14">
      <c r="A1117" s="24">
        <v>2020</v>
      </c>
      <c r="B1117" s="24" t="s">
        <v>136</v>
      </c>
      <c r="C1117" s="24" t="s">
        <v>176</v>
      </c>
      <c r="D1117" s="24" t="s">
        <v>184</v>
      </c>
      <c r="E1117" s="23">
        <v>29</v>
      </c>
      <c r="F1117" s="24" t="s">
        <v>211</v>
      </c>
      <c r="G1117" s="24" t="s">
        <v>225</v>
      </c>
      <c r="H1117" s="23" t="s">
        <v>226</v>
      </c>
      <c r="I1117" s="24" t="s">
        <v>225</v>
      </c>
      <c r="J1117" s="23" t="s">
        <v>226</v>
      </c>
      <c r="K1117" s="24" t="s">
        <v>225</v>
      </c>
      <c r="L1117" s="23"/>
      <c r="M1117" s="25">
        <v>44533</v>
      </c>
      <c r="N1117" s="24">
        <v>2021</v>
      </c>
    </row>
    <row r="1118" spans="1:14">
      <c r="A1118" s="24">
        <v>2020</v>
      </c>
      <c r="B1118" s="24" t="s">
        <v>136</v>
      </c>
      <c r="C1118" s="24" t="s">
        <v>137</v>
      </c>
      <c r="D1118" s="24" t="s">
        <v>141</v>
      </c>
      <c r="E1118" s="23">
        <v>3</v>
      </c>
      <c r="F1118" s="24" t="s">
        <v>207</v>
      </c>
      <c r="G1118" s="24" t="s">
        <v>225</v>
      </c>
      <c r="H1118" s="23" t="s">
        <v>226</v>
      </c>
      <c r="I1118" s="24" t="s">
        <v>226</v>
      </c>
      <c r="J1118" s="23" t="s">
        <v>226</v>
      </c>
      <c r="K1118" s="24" t="s">
        <v>225</v>
      </c>
      <c r="L1118" s="23"/>
      <c r="M1118" s="25">
        <v>44533</v>
      </c>
      <c r="N1118" s="24">
        <v>2021</v>
      </c>
    </row>
    <row r="1119" spans="1:14">
      <c r="A1119" s="24">
        <v>2020</v>
      </c>
      <c r="B1119" s="24" t="s">
        <v>136</v>
      </c>
      <c r="C1119" s="24" t="s">
        <v>682</v>
      </c>
      <c r="D1119" s="24" t="s">
        <v>167</v>
      </c>
      <c r="E1119" s="23">
        <v>2</v>
      </c>
      <c r="F1119" s="24" t="s">
        <v>207</v>
      </c>
      <c r="G1119" s="24" t="s">
        <v>225</v>
      </c>
      <c r="H1119" s="23" t="s">
        <v>226</v>
      </c>
      <c r="I1119" s="24" t="s">
        <v>225</v>
      </c>
      <c r="J1119" s="23" t="s">
        <v>226</v>
      </c>
      <c r="K1119" s="24" t="s">
        <v>225</v>
      </c>
      <c r="L1119" s="23"/>
      <c r="M1119" s="25">
        <v>44533</v>
      </c>
      <c r="N1119" s="24">
        <v>2021</v>
      </c>
    </row>
    <row r="1120" spans="1:14">
      <c r="A1120" s="24">
        <v>2020</v>
      </c>
      <c r="B1120" s="24" t="s">
        <v>136</v>
      </c>
      <c r="C1120" s="24" t="s">
        <v>176</v>
      </c>
      <c r="D1120" s="24" t="s">
        <v>177</v>
      </c>
      <c r="E1120" s="23"/>
      <c r="F1120" s="24" t="s">
        <v>207</v>
      </c>
      <c r="G1120" s="24" t="s">
        <v>225</v>
      </c>
      <c r="H1120" s="23" t="s">
        <v>225</v>
      </c>
      <c r="I1120" s="24" t="s">
        <v>225</v>
      </c>
      <c r="J1120" s="23" t="s">
        <v>226</v>
      </c>
      <c r="K1120" s="24" t="s">
        <v>225</v>
      </c>
      <c r="L1120" s="23"/>
      <c r="M1120" s="25">
        <v>44534</v>
      </c>
      <c r="N1120" s="24">
        <v>2021</v>
      </c>
    </row>
    <row r="1121" spans="1:14">
      <c r="A1121" s="24">
        <v>2020</v>
      </c>
      <c r="B1121" s="24" t="s">
        <v>136</v>
      </c>
      <c r="C1121" s="24" t="s">
        <v>168</v>
      </c>
      <c r="D1121" s="24" t="s">
        <v>170</v>
      </c>
      <c r="E1121" s="23"/>
      <c r="F1121" s="24" t="s">
        <v>211</v>
      </c>
      <c r="G1121" s="24" t="s">
        <v>225</v>
      </c>
      <c r="H1121" s="23" t="s">
        <v>225</v>
      </c>
      <c r="I1121" s="24" t="s">
        <v>225</v>
      </c>
      <c r="J1121" s="23" t="s">
        <v>226</v>
      </c>
      <c r="K1121" s="24" t="s">
        <v>225</v>
      </c>
      <c r="L1121" s="23"/>
      <c r="M1121" s="25">
        <v>44534</v>
      </c>
      <c r="N1121" s="24">
        <v>2021</v>
      </c>
    </row>
    <row r="1122" spans="1:14">
      <c r="A1122" s="24">
        <v>2020</v>
      </c>
      <c r="B1122" s="24" t="s">
        <v>4</v>
      </c>
      <c r="C1122" s="24" t="s">
        <v>5</v>
      </c>
      <c r="D1122" s="24" t="s">
        <v>8</v>
      </c>
      <c r="E1122" s="23">
        <v>1</v>
      </c>
      <c r="F1122" s="24" t="s">
        <v>207</v>
      </c>
      <c r="G1122" s="24" t="s">
        <v>225</v>
      </c>
      <c r="H1122" s="23" t="s">
        <v>226</v>
      </c>
      <c r="I1122" s="24" t="s">
        <v>226</v>
      </c>
      <c r="J1122" s="23" t="s">
        <v>226</v>
      </c>
      <c r="K1122" s="24" t="s">
        <v>225</v>
      </c>
      <c r="L1122" s="23"/>
      <c r="M1122" s="25">
        <v>44535</v>
      </c>
      <c r="N1122" s="24">
        <v>2021</v>
      </c>
    </row>
    <row r="1123" spans="1:14">
      <c r="A1123" s="24">
        <v>2020</v>
      </c>
      <c r="B1123" s="24" t="s">
        <v>4</v>
      </c>
      <c r="C1123" s="24" t="s">
        <v>18</v>
      </c>
      <c r="D1123" s="24" t="s">
        <v>22</v>
      </c>
      <c r="E1123" s="23">
        <v>2</v>
      </c>
      <c r="F1123" s="24" t="s">
        <v>207</v>
      </c>
      <c r="G1123" s="24" t="s">
        <v>225</v>
      </c>
      <c r="H1123" s="23" t="s">
        <v>226</v>
      </c>
      <c r="I1123" s="24" t="s">
        <v>225</v>
      </c>
      <c r="J1123" s="23" t="s">
        <v>226</v>
      </c>
      <c r="K1123" s="24" t="s">
        <v>225</v>
      </c>
      <c r="L1123" s="23"/>
      <c r="M1123" s="25">
        <v>44535</v>
      </c>
      <c r="N1123" s="24">
        <v>2021</v>
      </c>
    </row>
    <row r="1124" spans="1:14">
      <c r="A1124" s="24">
        <v>2020</v>
      </c>
      <c r="B1124" s="24" t="s">
        <v>78</v>
      </c>
      <c r="C1124" s="24" t="s">
        <v>95</v>
      </c>
      <c r="D1124" s="24" t="s">
        <v>102</v>
      </c>
      <c r="E1124" s="23">
        <v>21</v>
      </c>
      <c r="F1124" s="24" t="s">
        <v>207</v>
      </c>
      <c r="G1124" s="24" t="s">
        <v>225</v>
      </c>
      <c r="H1124" s="23" t="s">
        <v>226</v>
      </c>
      <c r="I1124" s="24" t="s">
        <v>226</v>
      </c>
      <c r="J1124" s="23" t="s">
        <v>226</v>
      </c>
      <c r="K1124" s="24" t="s">
        <v>225</v>
      </c>
      <c r="L1124" s="23"/>
      <c r="M1124" s="25">
        <v>44537</v>
      </c>
      <c r="N1124" s="24">
        <v>2021</v>
      </c>
    </row>
    <row r="1125" spans="1:14">
      <c r="A1125" s="24">
        <v>2021</v>
      </c>
      <c r="B1125" s="24" t="s">
        <v>136</v>
      </c>
      <c r="C1125" s="24" t="s">
        <v>146</v>
      </c>
      <c r="D1125" s="24" t="s">
        <v>147</v>
      </c>
      <c r="E1125" s="23">
        <v>3</v>
      </c>
      <c r="F1125" s="24" t="s">
        <v>207</v>
      </c>
      <c r="G1125" s="24" t="s">
        <v>225</v>
      </c>
      <c r="H1125" s="23" t="s">
        <v>226</v>
      </c>
      <c r="I1125" s="24" t="s">
        <v>225</v>
      </c>
      <c r="J1125" s="23" t="s">
        <v>226</v>
      </c>
      <c r="K1125" s="24" t="s">
        <v>225</v>
      </c>
      <c r="L1125" s="23"/>
      <c r="M1125" s="25">
        <v>44206</v>
      </c>
      <c r="N1125" s="24">
        <v>2021</v>
      </c>
    </row>
    <row r="1126" spans="1:14">
      <c r="A1126" s="24">
        <v>2021</v>
      </c>
      <c r="B1126" s="24" t="s">
        <v>4</v>
      </c>
      <c r="C1126" s="24" t="s">
        <v>23</v>
      </c>
      <c r="D1126" s="24" t="s">
        <v>407</v>
      </c>
      <c r="E1126" s="23">
        <v>4</v>
      </c>
      <c r="F1126" s="24" t="s">
        <v>207</v>
      </c>
      <c r="G1126" s="24" t="s">
        <v>225</v>
      </c>
      <c r="H1126" s="23" t="s">
        <v>226</v>
      </c>
      <c r="I1126" s="24" t="s">
        <v>225</v>
      </c>
      <c r="J1126" s="23" t="s">
        <v>226</v>
      </c>
      <c r="K1126" s="24" t="s">
        <v>225</v>
      </c>
      <c r="L1126" s="23"/>
      <c r="M1126" s="25">
        <v>44206</v>
      </c>
      <c r="N1126" s="24">
        <v>2021</v>
      </c>
    </row>
    <row r="1127" spans="1:14">
      <c r="A1127" s="24">
        <v>2021</v>
      </c>
      <c r="B1127" s="24" t="s">
        <v>4</v>
      </c>
      <c r="C1127" s="24" t="s">
        <v>18</v>
      </c>
      <c r="D1127" s="24" t="s">
        <v>20</v>
      </c>
      <c r="E1127" s="23">
        <v>8</v>
      </c>
      <c r="F1127" s="24" t="s">
        <v>207</v>
      </c>
      <c r="G1127" s="24" t="s">
        <v>225</v>
      </c>
      <c r="H1127" s="23" t="s">
        <v>226</v>
      </c>
      <c r="I1127" s="24" t="s">
        <v>225</v>
      </c>
      <c r="J1127" s="23" t="s">
        <v>226</v>
      </c>
      <c r="K1127" s="24" t="s">
        <v>225</v>
      </c>
      <c r="L1127" s="23"/>
      <c r="M1127" s="25">
        <v>44206</v>
      </c>
      <c r="N1127" s="24">
        <v>2021</v>
      </c>
    </row>
    <row r="1128" spans="1:14">
      <c r="A1128" s="24">
        <v>2021</v>
      </c>
      <c r="B1128" s="24" t="s">
        <v>136</v>
      </c>
      <c r="C1128" s="24" t="s">
        <v>146</v>
      </c>
      <c r="D1128" s="24" t="s">
        <v>147</v>
      </c>
      <c r="E1128" s="23">
        <v>5</v>
      </c>
      <c r="F1128" s="24" t="s">
        <v>211</v>
      </c>
      <c r="G1128" s="24" t="s">
        <v>225</v>
      </c>
      <c r="H1128" s="23" t="s">
        <v>226</v>
      </c>
      <c r="I1128" s="24" t="s">
        <v>225</v>
      </c>
      <c r="J1128" s="23" t="s">
        <v>226</v>
      </c>
      <c r="K1128" s="24" t="s">
        <v>225</v>
      </c>
      <c r="L1128" s="23"/>
      <c r="M1128" s="25">
        <v>44206</v>
      </c>
      <c r="N1128" s="24">
        <v>2021</v>
      </c>
    </row>
    <row r="1129" spans="1:14">
      <c r="A1129" s="24">
        <v>2021</v>
      </c>
      <c r="B1129" s="24" t="s">
        <v>136</v>
      </c>
      <c r="C1129" s="24" t="s">
        <v>176</v>
      </c>
      <c r="D1129" s="24" t="s">
        <v>178</v>
      </c>
      <c r="E1129" s="23">
        <v>1</v>
      </c>
      <c r="F1129" s="24" t="s">
        <v>211</v>
      </c>
      <c r="G1129" s="24" t="s">
        <v>225</v>
      </c>
      <c r="H1129" s="23" t="s">
        <v>226</v>
      </c>
      <c r="I1129" s="24" t="s">
        <v>225</v>
      </c>
      <c r="J1129" s="23" t="s">
        <v>226</v>
      </c>
      <c r="K1129" s="24" t="s">
        <v>225</v>
      </c>
      <c r="L1129" s="23"/>
      <c r="M1129" s="25">
        <v>44206</v>
      </c>
      <c r="N1129" s="24">
        <v>2021</v>
      </c>
    </row>
    <row r="1130" spans="1:14">
      <c r="A1130" s="24">
        <v>2021</v>
      </c>
      <c r="B1130" s="24" t="s">
        <v>4</v>
      </c>
      <c r="C1130" s="24" t="s">
        <v>31</v>
      </c>
      <c r="D1130" s="24" t="s">
        <v>34</v>
      </c>
      <c r="E1130" s="23">
        <v>26</v>
      </c>
      <c r="F1130" s="24" t="s">
        <v>207</v>
      </c>
      <c r="G1130" s="24" t="s">
        <v>225</v>
      </c>
      <c r="H1130" s="23" t="s">
        <v>226</v>
      </c>
      <c r="I1130" s="24" t="s">
        <v>226</v>
      </c>
      <c r="J1130" s="23" t="s">
        <v>226</v>
      </c>
      <c r="K1130" s="24" t="s">
        <v>225</v>
      </c>
      <c r="L1130" s="23"/>
      <c r="M1130" s="25">
        <v>44206</v>
      </c>
      <c r="N1130" s="24">
        <v>2021</v>
      </c>
    </row>
    <row r="1131" spans="1:14">
      <c r="A1131" s="24">
        <v>2021</v>
      </c>
      <c r="B1131" s="24" t="s">
        <v>78</v>
      </c>
      <c r="C1131" s="24" t="s">
        <v>79</v>
      </c>
      <c r="D1131" s="24" t="s">
        <v>51</v>
      </c>
      <c r="E1131" s="23">
        <v>1</v>
      </c>
      <c r="F1131" s="24" t="s">
        <v>207</v>
      </c>
      <c r="G1131" s="24" t="s">
        <v>225</v>
      </c>
      <c r="H1131" s="23" t="s">
        <v>226</v>
      </c>
      <c r="I1131" s="24" t="s">
        <v>225</v>
      </c>
      <c r="J1131" s="23" t="s">
        <v>226</v>
      </c>
      <c r="K1131" s="24" t="s">
        <v>225</v>
      </c>
      <c r="L1131" s="23"/>
      <c r="M1131" s="25">
        <v>44206</v>
      </c>
      <c r="N1131" s="24">
        <v>2021</v>
      </c>
    </row>
    <row r="1132" spans="1:14">
      <c r="A1132" s="24">
        <v>2021</v>
      </c>
      <c r="B1132" s="24" t="s">
        <v>136</v>
      </c>
      <c r="C1132" s="24" t="s">
        <v>137</v>
      </c>
      <c r="D1132" s="24" t="s">
        <v>141</v>
      </c>
      <c r="E1132" s="23">
        <v>12</v>
      </c>
      <c r="F1132" s="24" t="s">
        <v>207</v>
      </c>
      <c r="G1132" s="24" t="s">
        <v>225</v>
      </c>
      <c r="H1132" s="23" t="s">
        <v>226</v>
      </c>
      <c r="I1132" s="24" t="s">
        <v>225</v>
      </c>
      <c r="J1132" s="23" t="s">
        <v>226</v>
      </c>
      <c r="K1132" s="24" t="s">
        <v>225</v>
      </c>
      <c r="L1132" s="23"/>
      <c r="M1132" s="25">
        <v>44208</v>
      </c>
      <c r="N1132" s="24">
        <v>2021</v>
      </c>
    </row>
    <row r="1133" spans="1:14">
      <c r="A1133" s="24">
        <v>2021</v>
      </c>
      <c r="B1133" s="24" t="s">
        <v>4</v>
      </c>
      <c r="C1133" s="24" t="s">
        <v>5</v>
      </c>
      <c r="D1133" s="24" t="s">
        <v>9</v>
      </c>
      <c r="E1133" s="23"/>
      <c r="F1133" s="24" t="s">
        <v>211</v>
      </c>
      <c r="G1133" s="24" t="s">
        <v>225</v>
      </c>
      <c r="H1133" s="23" t="s">
        <v>225</v>
      </c>
      <c r="I1133" s="24" t="s">
        <v>226</v>
      </c>
      <c r="J1133" s="23" t="s">
        <v>226</v>
      </c>
      <c r="K1133" s="24" t="s">
        <v>225</v>
      </c>
      <c r="L1133" s="23"/>
      <c r="M1133" s="25">
        <v>44208</v>
      </c>
      <c r="N1133" s="24">
        <v>2021</v>
      </c>
    </row>
    <row r="1134" spans="1:14">
      <c r="A1134" s="24">
        <v>2021</v>
      </c>
      <c r="B1134" s="24" t="s">
        <v>136</v>
      </c>
      <c r="C1134" s="24" t="s">
        <v>137</v>
      </c>
      <c r="D1134" s="24" t="s">
        <v>138</v>
      </c>
      <c r="E1134" s="23">
        <v>22</v>
      </c>
      <c r="F1134" s="24" t="s">
        <v>207</v>
      </c>
      <c r="G1134" s="24" t="s">
        <v>225</v>
      </c>
      <c r="H1134" s="23" t="s">
        <v>226</v>
      </c>
      <c r="I1134" s="24" t="s">
        <v>226</v>
      </c>
      <c r="J1134" s="23" t="s">
        <v>226</v>
      </c>
      <c r="K1134" s="24" t="s">
        <v>225</v>
      </c>
      <c r="L1134" s="23"/>
      <c r="M1134" s="25">
        <v>44208</v>
      </c>
      <c r="N1134" s="24">
        <v>2021</v>
      </c>
    </row>
    <row r="1135" spans="1:14">
      <c r="A1135" s="24">
        <v>2021</v>
      </c>
      <c r="B1135" s="24" t="s">
        <v>4</v>
      </c>
      <c r="C1135" s="24" t="s">
        <v>5</v>
      </c>
      <c r="D1135" s="24" t="s">
        <v>7</v>
      </c>
      <c r="E1135" s="23">
        <v>6</v>
      </c>
      <c r="F1135" s="24" t="s">
        <v>211</v>
      </c>
      <c r="G1135" s="24" t="s">
        <v>225</v>
      </c>
      <c r="H1135" s="23" t="s">
        <v>226</v>
      </c>
      <c r="I1135" s="24" t="s">
        <v>225</v>
      </c>
      <c r="J1135" s="23" t="s">
        <v>226</v>
      </c>
      <c r="K1135" s="24" t="s">
        <v>225</v>
      </c>
      <c r="L1135" s="23"/>
      <c r="M1135" s="25">
        <v>44239</v>
      </c>
      <c r="N1135" s="24">
        <v>2021</v>
      </c>
    </row>
    <row r="1136" spans="1:14">
      <c r="A1136" s="24">
        <v>2021</v>
      </c>
      <c r="B1136" s="24" t="s">
        <v>136</v>
      </c>
      <c r="C1136" s="24" t="s">
        <v>684</v>
      </c>
      <c r="D1136" s="24" t="s">
        <v>433</v>
      </c>
      <c r="E1136" s="23"/>
      <c r="F1136" s="24" t="s">
        <v>211</v>
      </c>
      <c r="G1136" s="24" t="s">
        <v>225</v>
      </c>
      <c r="H1136" s="23" t="s">
        <v>225</v>
      </c>
      <c r="I1136" s="24" t="s">
        <v>225</v>
      </c>
      <c r="J1136" s="23" t="s">
        <v>226</v>
      </c>
      <c r="K1136" s="24" t="s">
        <v>225</v>
      </c>
      <c r="L1136" s="23"/>
      <c r="M1136" s="25">
        <v>44267</v>
      </c>
      <c r="N1136" s="24">
        <v>2021</v>
      </c>
    </row>
    <row r="1137" spans="1:14">
      <c r="A1137" s="24">
        <v>2021</v>
      </c>
      <c r="B1137" s="24" t="s">
        <v>136</v>
      </c>
      <c r="C1137" s="24" t="s">
        <v>189</v>
      </c>
      <c r="D1137" s="24" t="s">
        <v>491</v>
      </c>
      <c r="E1137" s="23"/>
      <c r="F1137" s="24" t="s">
        <v>211</v>
      </c>
      <c r="G1137" s="24" t="s">
        <v>225</v>
      </c>
      <c r="H1137" s="23" t="s">
        <v>225</v>
      </c>
      <c r="I1137" s="24" t="s">
        <v>226</v>
      </c>
      <c r="J1137" s="23" t="s">
        <v>226</v>
      </c>
      <c r="K1137" s="24" t="s">
        <v>225</v>
      </c>
      <c r="L1137" s="23"/>
      <c r="M1137" s="25">
        <v>44267</v>
      </c>
      <c r="N1137" s="24">
        <v>2021</v>
      </c>
    </row>
    <row r="1138" spans="1:14">
      <c r="A1138" s="24">
        <v>2021</v>
      </c>
      <c r="B1138" s="24" t="s">
        <v>4</v>
      </c>
      <c r="C1138" s="24" t="s">
        <v>23</v>
      </c>
      <c r="D1138" s="24" t="s">
        <v>29</v>
      </c>
      <c r="E1138" s="23">
        <v>12</v>
      </c>
      <c r="F1138" s="24" t="s">
        <v>207</v>
      </c>
      <c r="G1138" s="24" t="s">
        <v>225</v>
      </c>
      <c r="H1138" s="23" t="s">
        <v>226</v>
      </c>
      <c r="I1138" s="24" t="s">
        <v>226</v>
      </c>
      <c r="J1138" s="23" t="s">
        <v>226</v>
      </c>
      <c r="K1138" s="24" t="s">
        <v>225</v>
      </c>
      <c r="L1138" s="23"/>
      <c r="M1138" s="25">
        <v>44267</v>
      </c>
      <c r="N1138" s="24">
        <v>2021</v>
      </c>
    </row>
    <row r="1139" spans="1:14">
      <c r="A1139" s="24">
        <v>2021</v>
      </c>
      <c r="B1139" s="24" t="s">
        <v>136</v>
      </c>
      <c r="C1139" s="24" t="s">
        <v>171</v>
      </c>
      <c r="D1139" s="24" t="s">
        <v>415</v>
      </c>
      <c r="E1139" s="23">
        <v>1</v>
      </c>
      <c r="F1139" s="24" t="s">
        <v>207</v>
      </c>
      <c r="G1139" s="24" t="s">
        <v>225</v>
      </c>
      <c r="H1139" s="23" t="s">
        <v>226</v>
      </c>
      <c r="I1139" s="24" t="s">
        <v>226</v>
      </c>
      <c r="J1139" s="23" t="s">
        <v>226</v>
      </c>
      <c r="K1139" s="24" t="s">
        <v>225</v>
      </c>
      <c r="L1139" s="23"/>
      <c r="M1139" s="25">
        <v>44267</v>
      </c>
      <c r="N1139" s="24">
        <v>2021</v>
      </c>
    </row>
    <row r="1140" spans="1:14">
      <c r="A1140" s="24">
        <v>2021</v>
      </c>
      <c r="B1140" s="24" t="s">
        <v>4</v>
      </c>
      <c r="C1140" s="24" t="s">
        <v>5</v>
      </c>
      <c r="D1140" s="24" t="s">
        <v>9</v>
      </c>
      <c r="E1140" s="23">
        <v>16</v>
      </c>
      <c r="F1140" s="24" t="s">
        <v>211</v>
      </c>
      <c r="G1140" s="24" t="s">
        <v>225</v>
      </c>
      <c r="H1140" s="23" t="s">
        <v>226</v>
      </c>
      <c r="I1140" s="24" t="s">
        <v>225</v>
      </c>
      <c r="J1140" s="23" t="s">
        <v>226</v>
      </c>
      <c r="K1140" s="24" t="s">
        <v>225</v>
      </c>
      <c r="L1140" s="23"/>
      <c r="M1140" s="25">
        <v>44281</v>
      </c>
      <c r="N1140" s="24">
        <v>2021</v>
      </c>
    </row>
    <row r="1141" spans="1:14">
      <c r="A1141" s="24">
        <v>2021</v>
      </c>
      <c r="B1141" s="24" t="s">
        <v>78</v>
      </c>
      <c r="C1141" s="24" t="s">
        <v>122</v>
      </c>
      <c r="D1141" s="24" t="s">
        <v>125</v>
      </c>
      <c r="E1141" s="23"/>
      <c r="F1141" s="24" t="s">
        <v>211</v>
      </c>
      <c r="G1141" s="24" t="s">
        <v>225</v>
      </c>
      <c r="H1141" s="23" t="s">
        <v>225</v>
      </c>
      <c r="I1141" s="24" t="s">
        <v>225</v>
      </c>
      <c r="J1141" s="23" t="s">
        <v>226</v>
      </c>
      <c r="K1141" s="24" t="s">
        <v>225</v>
      </c>
      <c r="L1141" s="23"/>
      <c r="M1141" s="25">
        <v>44296</v>
      </c>
      <c r="N1141" s="24">
        <v>2021</v>
      </c>
    </row>
    <row r="1142" spans="1:14">
      <c r="A1142" s="24">
        <v>2021</v>
      </c>
      <c r="B1142" s="24" t="s">
        <v>136</v>
      </c>
      <c r="C1142" s="24" t="s">
        <v>146</v>
      </c>
      <c r="D1142" s="24" t="s">
        <v>151</v>
      </c>
      <c r="E1142" s="23">
        <v>1</v>
      </c>
      <c r="F1142" s="24" t="s">
        <v>207</v>
      </c>
      <c r="G1142" s="24" t="s">
        <v>225</v>
      </c>
      <c r="H1142" s="23" t="s">
        <v>226</v>
      </c>
      <c r="I1142" s="24" t="s">
        <v>225</v>
      </c>
      <c r="J1142" s="23" t="s">
        <v>226</v>
      </c>
      <c r="K1142" s="24" t="s">
        <v>225</v>
      </c>
      <c r="L1142" s="23"/>
      <c r="M1142" s="25">
        <v>44297</v>
      </c>
      <c r="N1142" s="24">
        <v>2021</v>
      </c>
    </row>
    <row r="1143" spans="1:14">
      <c r="A1143" s="24">
        <v>2021</v>
      </c>
      <c r="B1143" s="24" t="s">
        <v>4</v>
      </c>
      <c r="C1143" s="24" t="s">
        <v>5</v>
      </c>
      <c r="D1143" s="24" t="s">
        <v>7</v>
      </c>
      <c r="E1143" s="23">
        <v>13</v>
      </c>
      <c r="F1143" s="24" t="s">
        <v>211</v>
      </c>
      <c r="G1143" s="24" t="s">
        <v>225</v>
      </c>
      <c r="H1143" s="23" t="s">
        <v>226</v>
      </c>
      <c r="I1143" s="24" t="s">
        <v>226</v>
      </c>
      <c r="J1143" s="23" t="s">
        <v>226</v>
      </c>
      <c r="K1143" s="24" t="s">
        <v>225</v>
      </c>
      <c r="L1143" s="23"/>
      <c r="M1143" s="25">
        <v>44297</v>
      </c>
      <c r="N1143" s="24">
        <v>2021</v>
      </c>
    </row>
    <row r="1144" spans="1:14">
      <c r="A1144" s="24">
        <v>2021</v>
      </c>
      <c r="B1144" s="24" t="s">
        <v>78</v>
      </c>
      <c r="C1144" s="24" t="s">
        <v>92</v>
      </c>
      <c r="D1144" s="24" t="s">
        <v>575</v>
      </c>
      <c r="E1144" s="23">
        <v>2</v>
      </c>
      <c r="F1144" s="24" t="s">
        <v>207</v>
      </c>
      <c r="G1144" s="24" t="s">
        <v>225</v>
      </c>
      <c r="H1144" s="23" t="s">
        <v>226</v>
      </c>
      <c r="I1144" s="24" t="s">
        <v>225</v>
      </c>
      <c r="J1144" s="23" t="s">
        <v>226</v>
      </c>
      <c r="K1144" s="24" t="s">
        <v>225</v>
      </c>
      <c r="L1144" s="23"/>
      <c r="M1144" s="25">
        <v>44326</v>
      </c>
      <c r="N1144" s="24">
        <v>2021</v>
      </c>
    </row>
    <row r="1145" spans="1:14">
      <c r="A1145" s="24">
        <v>2021</v>
      </c>
      <c r="B1145" s="24" t="s">
        <v>78</v>
      </c>
      <c r="C1145" s="24" t="s">
        <v>79</v>
      </c>
      <c r="D1145" s="24" t="s">
        <v>327</v>
      </c>
      <c r="E1145" s="23">
        <v>15</v>
      </c>
      <c r="F1145" s="24" t="s">
        <v>211</v>
      </c>
      <c r="G1145" s="24" t="s">
        <v>225</v>
      </c>
      <c r="H1145" s="23" t="s">
        <v>226</v>
      </c>
      <c r="I1145" s="24" t="s">
        <v>226</v>
      </c>
      <c r="J1145" s="23" t="s">
        <v>226</v>
      </c>
      <c r="K1145" s="24" t="s">
        <v>225</v>
      </c>
      <c r="L1145" s="23"/>
      <c r="M1145" s="25">
        <v>44326</v>
      </c>
      <c r="N1145" s="24">
        <v>2021</v>
      </c>
    </row>
    <row r="1146" spans="1:14">
      <c r="A1146" s="24">
        <v>2021</v>
      </c>
      <c r="B1146" s="24" t="s">
        <v>78</v>
      </c>
      <c r="C1146" s="24" t="s">
        <v>79</v>
      </c>
      <c r="D1146" s="24" t="s">
        <v>55</v>
      </c>
      <c r="E1146" s="23">
        <v>19</v>
      </c>
      <c r="F1146" s="24" t="s">
        <v>207</v>
      </c>
      <c r="G1146" s="24" t="s">
        <v>225</v>
      </c>
      <c r="H1146" s="23" t="s">
        <v>226</v>
      </c>
      <c r="I1146" s="24" t="s">
        <v>226</v>
      </c>
      <c r="J1146" s="23" t="s">
        <v>226</v>
      </c>
      <c r="K1146" s="24" t="s">
        <v>225</v>
      </c>
      <c r="L1146" s="23"/>
      <c r="M1146" s="25">
        <v>44327</v>
      </c>
      <c r="N1146" s="24">
        <v>2021</v>
      </c>
    </row>
    <row r="1147" spans="1:14">
      <c r="A1147" s="24">
        <v>2021</v>
      </c>
      <c r="B1147" s="24" t="s">
        <v>4</v>
      </c>
      <c r="C1147" s="24" t="s">
        <v>203</v>
      </c>
      <c r="D1147" s="24" t="s">
        <v>40</v>
      </c>
      <c r="E1147" s="23">
        <v>1</v>
      </c>
      <c r="F1147" s="24" t="s">
        <v>207</v>
      </c>
      <c r="G1147" s="24" t="s">
        <v>225</v>
      </c>
      <c r="H1147" s="23" t="s">
        <v>226</v>
      </c>
      <c r="I1147" s="24" t="s">
        <v>225</v>
      </c>
      <c r="J1147" s="23" t="s">
        <v>226</v>
      </c>
      <c r="K1147" s="24" t="s">
        <v>225</v>
      </c>
      <c r="L1147" s="23"/>
      <c r="M1147" s="25">
        <v>44327</v>
      </c>
      <c r="N1147" s="24">
        <v>2021</v>
      </c>
    </row>
    <row r="1148" spans="1:14">
      <c r="A1148" s="24">
        <v>2021</v>
      </c>
      <c r="B1148" s="24" t="s">
        <v>136</v>
      </c>
      <c r="C1148" s="24" t="s">
        <v>137</v>
      </c>
      <c r="D1148" s="24" t="s">
        <v>141</v>
      </c>
      <c r="E1148" s="23">
        <v>2</v>
      </c>
      <c r="F1148" s="24" t="s">
        <v>207</v>
      </c>
      <c r="G1148" s="24" t="s">
        <v>225</v>
      </c>
      <c r="H1148" s="23" t="s">
        <v>226</v>
      </c>
      <c r="I1148" s="24" t="s">
        <v>225</v>
      </c>
      <c r="J1148" s="23" t="s">
        <v>226</v>
      </c>
      <c r="K1148" s="24" t="s">
        <v>225</v>
      </c>
      <c r="L1148" s="23"/>
      <c r="M1148" s="25">
        <v>44327</v>
      </c>
      <c r="N1148" s="24">
        <v>2021</v>
      </c>
    </row>
    <row r="1149" spans="1:14">
      <c r="A1149" s="24">
        <v>2021</v>
      </c>
      <c r="B1149" s="24" t="s">
        <v>78</v>
      </c>
      <c r="C1149" s="24" t="s">
        <v>95</v>
      </c>
      <c r="D1149" s="24" t="s">
        <v>96</v>
      </c>
      <c r="E1149" s="23"/>
      <c r="F1149" s="24" t="s">
        <v>207</v>
      </c>
      <c r="G1149" s="24" t="s">
        <v>225</v>
      </c>
      <c r="H1149" s="23" t="s">
        <v>225</v>
      </c>
      <c r="I1149" s="24" t="s">
        <v>225</v>
      </c>
      <c r="J1149" s="23" t="s">
        <v>226</v>
      </c>
      <c r="K1149" s="24" t="s">
        <v>225</v>
      </c>
      <c r="L1149" s="23"/>
      <c r="M1149" s="25">
        <v>44327</v>
      </c>
      <c r="N1149" s="24">
        <v>2021</v>
      </c>
    </row>
    <row r="1150" spans="1:14">
      <c r="A1150" s="24">
        <v>2021</v>
      </c>
      <c r="B1150" s="24" t="s">
        <v>136</v>
      </c>
      <c r="C1150" s="24" t="s">
        <v>684</v>
      </c>
      <c r="D1150" s="24" t="s">
        <v>593</v>
      </c>
      <c r="E1150" s="28">
        <v>2</v>
      </c>
      <c r="F1150" s="24" t="s">
        <v>211</v>
      </c>
      <c r="G1150" s="24" t="s">
        <v>225</v>
      </c>
      <c r="H1150" s="23" t="s">
        <v>225</v>
      </c>
      <c r="I1150" s="24" t="s">
        <v>225</v>
      </c>
      <c r="J1150" s="23" t="s">
        <v>226</v>
      </c>
      <c r="K1150" s="24" t="s">
        <v>225</v>
      </c>
      <c r="L1150" s="23"/>
      <c r="M1150" s="25">
        <v>44387</v>
      </c>
      <c r="N1150" s="24">
        <v>2021</v>
      </c>
    </row>
    <row r="1151" spans="1:14">
      <c r="A1151" s="24">
        <v>2021</v>
      </c>
      <c r="B1151" s="24" t="s">
        <v>78</v>
      </c>
      <c r="C1151" s="24" t="s">
        <v>80</v>
      </c>
      <c r="D1151" s="24" t="s">
        <v>83</v>
      </c>
      <c r="E1151" s="23">
        <v>23</v>
      </c>
      <c r="F1151" s="24" t="s">
        <v>207</v>
      </c>
      <c r="G1151" s="24" t="s">
        <v>225</v>
      </c>
      <c r="H1151" s="23" t="s">
        <v>226</v>
      </c>
      <c r="I1151" s="24" t="s">
        <v>226</v>
      </c>
      <c r="J1151" s="23" t="s">
        <v>226</v>
      </c>
      <c r="K1151" s="24" t="s">
        <v>225</v>
      </c>
      <c r="L1151" s="23"/>
      <c r="M1151" s="25">
        <v>44387</v>
      </c>
      <c r="N1151" s="24">
        <v>2021</v>
      </c>
    </row>
    <row r="1152" spans="1:14">
      <c r="A1152" s="24">
        <v>2021</v>
      </c>
      <c r="B1152" s="24" t="s">
        <v>78</v>
      </c>
      <c r="C1152" s="24" t="s">
        <v>79</v>
      </c>
      <c r="D1152" s="24" t="s">
        <v>56</v>
      </c>
      <c r="E1152" s="23">
        <v>4</v>
      </c>
      <c r="F1152" s="24" t="s">
        <v>207</v>
      </c>
      <c r="G1152" s="24" t="s">
        <v>225</v>
      </c>
      <c r="H1152" s="23" t="s">
        <v>226</v>
      </c>
      <c r="I1152" s="24" t="s">
        <v>226</v>
      </c>
      <c r="J1152" s="23" t="s">
        <v>226</v>
      </c>
      <c r="K1152" s="24" t="s">
        <v>225</v>
      </c>
      <c r="L1152" s="23"/>
      <c r="M1152" s="25">
        <v>44387</v>
      </c>
      <c r="N1152" s="24">
        <v>2021</v>
      </c>
    </row>
    <row r="1153" spans="1:14">
      <c r="A1153" s="24">
        <v>2021</v>
      </c>
      <c r="B1153" s="24" t="s">
        <v>4</v>
      </c>
      <c r="C1153" s="24" t="s">
        <v>23</v>
      </c>
      <c r="D1153" s="24" t="s">
        <v>27</v>
      </c>
      <c r="E1153" s="23">
        <v>2</v>
      </c>
      <c r="F1153" s="24" t="s">
        <v>211</v>
      </c>
      <c r="G1153" s="24" t="s">
        <v>225</v>
      </c>
      <c r="H1153" s="23" t="s">
        <v>226</v>
      </c>
      <c r="I1153" s="24" t="s">
        <v>225</v>
      </c>
      <c r="J1153" s="23" t="s">
        <v>226</v>
      </c>
      <c r="K1153" s="24" t="s">
        <v>225</v>
      </c>
      <c r="L1153" s="23"/>
      <c r="M1153" s="25">
        <v>44418</v>
      </c>
      <c r="N1153" s="24">
        <v>2021</v>
      </c>
    </row>
    <row r="1154" spans="1:14">
      <c r="A1154" s="24">
        <v>2021</v>
      </c>
      <c r="B1154" s="24" t="s">
        <v>136</v>
      </c>
      <c r="C1154" s="24" t="s">
        <v>152</v>
      </c>
      <c r="D1154" s="27" t="s">
        <v>594</v>
      </c>
      <c r="E1154" s="28">
        <v>27</v>
      </c>
      <c r="F1154" s="24" t="s">
        <v>207</v>
      </c>
      <c r="G1154" s="24" t="s">
        <v>225</v>
      </c>
      <c r="H1154" s="23" t="s">
        <v>225</v>
      </c>
      <c r="I1154" s="24" t="s">
        <v>225</v>
      </c>
      <c r="J1154" s="23" t="s">
        <v>226</v>
      </c>
      <c r="K1154" s="24" t="s">
        <v>225</v>
      </c>
      <c r="L1154" s="23"/>
      <c r="M1154" s="25">
        <v>44418</v>
      </c>
      <c r="N1154" s="24">
        <v>2021</v>
      </c>
    </row>
    <row r="1155" spans="1:14">
      <c r="A1155" s="24">
        <v>2021</v>
      </c>
      <c r="B1155" s="24" t="s">
        <v>4</v>
      </c>
      <c r="C1155" s="24" t="s">
        <v>5</v>
      </c>
      <c r="D1155" s="24" t="s">
        <v>11</v>
      </c>
      <c r="E1155" s="23">
        <v>12</v>
      </c>
      <c r="F1155" s="24" t="s">
        <v>211</v>
      </c>
      <c r="G1155" s="24" t="s">
        <v>225</v>
      </c>
      <c r="H1155" s="23" t="s">
        <v>226</v>
      </c>
      <c r="I1155" s="24" t="s">
        <v>226</v>
      </c>
      <c r="J1155" s="23" t="s">
        <v>226</v>
      </c>
      <c r="K1155" s="24" t="s">
        <v>225</v>
      </c>
      <c r="L1155" s="23"/>
      <c r="M1155" s="25">
        <v>44418</v>
      </c>
      <c r="N1155" s="24">
        <v>2021</v>
      </c>
    </row>
    <row r="1156" spans="1:14">
      <c r="A1156" s="24">
        <v>2021</v>
      </c>
      <c r="B1156" s="24" t="s">
        <v>136</v>
      </c>
      <c r="C1156" s="24" t="s">
        <v>146</v>
      </c>
      <c r="D1156" s="24" t="s">
        <v>148</v>
      </c>
      <c r="E1156" s="23">
        <v>2</v>
      </c>
      <c r="F1156" s="24" t="s">
        <v>207</v>
      </c>
      <c r="G1156" s="24" t="s">
        <v>225</v>
      </c>
      <c r="H1156" s="23" t="s">
        <v>226</v>
      </c>
      <c r="I1156" s="24" t="s">
        <v>226</v>
      </c>
      <c r="J1156" s="23" t="s">
        <v>226</v>
      </c>
      <c r="K1156" s="24" t="s">
        <v>225</v>
      </c>
      <c r="L1156" s="23"/>
      <c r="M1156" s="25">
        <v>44418</v>
      </c>
      <c r="N1156" s="24">
        <v>2021</v>
      </c>
    </row>
    <row r="1157" spans="1:14">
      <c r="A1157" s="24">
        <v>2021</v>
      </c>
      <c r="B1157" s="24" t="s">
        <v>136</v>
      </c>
      <c r="C1157" s="24" t="s">
        <v>146</v>
      </c>
      <c r="D1157" s="24" t="s">
        <v>151</v>
      </c>
      <c r="E1157" s="23">
        <v>1</v>
      </c>
      <c r="F1157" s="24" t="s">
        <v>211</v>
      </c>
      <c r="G1157" s="24" t="s">
        <v>225</v>
      </c>
      <c r="H1157" s="23" t="s">
        <v>226</v>
      </c>
      <c r="I1157" s="24" t="s">
        <v>225</v>
      </c>
      <c r="J1157" s="23" t="s">
        <v>226</v>
      </c>
      <c r="K1157" s="24" t="s">
        <v>225</v>
      </c>
      <c r="L1157" s="23"/>
      <c r="M1157" s="25">
        <v>44418</v>
      </c>
      <c r="N1157" s="24">
        <v>2021</v>
      </c>
    </row>
    <row r="1158" spans="1:14">
      <c r="A1158" s="24">
        <v>2021</v>
      </c>
      <c r="B1158" s="24" t="s">
        <v>4</v>
      </c>
      <c r="C1158" s="24" t="s">
        <v>23</v>
      </c>
      <c r="D1158" s="24" t="s">
        <v>29</v>
      </c>
      <c r="E1158" s="23">
        <v>8</v>
      </c>
      <c r="F1158" s="24" t="s">
        <v>211</v>
      </c>
      <c r="G1158" s="24" t="s">
        <v>225</v>
      </c>
      <c r="H1158" s="23" t="s">
        <v>226</v>
      </c>
      <c r="I1158" s="24" t="s">
        <v>225</v>
      </c>
      <c r="J1158" s="23" t="s">
        <v>226</v>
      </c>
      <c r="K1158" s="24" t="s">
        <v>225</v>
      </c>
      <c r="L1158" s="23"/>
      <c r="M1158" s="25">
        <v>44419</v>
      </c>
      <c r="N1158" s="24">
        <v>2021</v>
      </c>
    </row>
    <row r="1159" spans="1:14">
      <c r="A1159" s="24">
        <v>2021</v>
      </c>
      <c r="B1159" s="24" t="s">
        <v>4</v>
      </c>
      <c r="C1159" s="24" t="s">
        <v>23</v>
      </c>
      <c r="D1159" s="24" t="s">
        <v>25</v>
      </c>
      <c r="E1159" s="23">
        <v>6</v>
      </c>
      <c r="F1159" s="24" t="s">
        <v>211</v>
      </c>
      <c r="G1159" s="24" t="s">
        <v>225</v>
      </c>
      <c r="H1159" s="23" t="s">
        <v>226</v>
      </c>
      <c r="I1159" s="24" t="s">
        <v>225</v>
      </c>
      <c r="J1159" s="23" t="s">
        <v>226</v>
      </c>
      <c r="K1159" s="24" t="s">
        <v>225</v>
      </c>
      <c r="L1159" s="23"/>
      <c r="M1159" s="26" t="s">
        <v>595</v>
      </c>
      <c r="N1159" s="24">
        <v>2021</v>
      </c>
    </row>
    <row r="1160" spans="1:14">
      <c r="A1160" s="24">
        <v>2021</v>
      </c>
      <c r="B1160" s="24" t="s">
        <v>136</v>
      </c>
      <c r="C1160" s="24" t="s">
        <v>160</v>
      </c>
      <c r="D1160" s="24" t="s">
        <v>206</v>
      </c>
      <c r="E1160" s="23">
        <v>2</v>
      </c>
      <c r="F1160" s="24" t="s">
        <v>211</v>
      </c>
      <c r="G1160" s="24" t="s">
        <v>225</v>
      </c>
      <c r="H1160" s="23" t="s">
        <v>226</v>
      </c>
      <c r="I1160" s="24" t="s">
        <v>225</v>
      </c>
      <c r="J1160" s="23" t="s">
        <v>226</v>
      </c>
      <c r="K1160" s="24" t="s">
        <v>225</v>
      </c>
      <c r="L1160" s="23"/>
      <c r="M1160" s="26" t="s">
        <v>596</v>
      </c>
      <c r="N1160" s="24">
        <v>2021</v>
      </c>
    </row>
    <row r="1161" spans="1:14">
      <c r="A1161" s="24">
        <v>2021</v>
      </c>
      <c r="B1161" s="24" t="s">
        <v>136</v>
      </c>
      <c r="C1161" s="24" t="s">
        <v>152</v>
      </c>
      <c r="D1161" s="24" t="s">
        <v>155</v>
      </c>
      <c r="E1161" s="23">
        <v>7</v>
      </c>
      <c r="F1161" s="24" t="s">
        <v>207</v>
      </c>
      <c r="G1161" s="24" t="s">
        <v>225</v>
      </c>
      <c r="H1161" s="23" t="s">
        <v>226</v>
      </c>
      <c r="I1161" s="24" t="s">
        <v>226</v>
      </c>
      <c r="J1161" s="23" t="s">
        <v>226</v>
      </c>
      <c r="K1161" s="24" t="s">
        <v>225</v>
      </c>
      <c r="L1161" s="23"/>
      <c r="M1161" s="26" t="s">
        <v>596</v>
      </c>
      <c r="N1161" s="24">
        <v>2021</v>
      </c>
    </row>
    <row r="1162" spans="1:14">
      <c r="A1162" s="24">
        <v>2021</v>
      </c>
      <c r="B1162" s="24" t="s">
        <v>4</v>
      </c>
      <c r="C1162" s="24" t="s">
        <v>203</v>
      </c>
      <c r="D1162" s="24" t="s">
        <v>40</v>
      </c>
      <c r="E1162" s="23">
        <v>3</v>
      </c>
      <c r="F1162" s="24" t="s">
        <v>211</v>
      </c>
      <c r="G1162" s="24" t="s">
        <v>225</v>
      </c>
      <c r="H1162" s="23" t="s">
        <v>226</v>
      </c>
      <c r="I1162" s="24" t="s">
        <v>226</v>
      </c>
      <c r="J1162" s="23" t="s">
        <v>226</v>
      </c>
      <c r="K1162" s="24" t="s">
        <v>225</v>
      </c>
      <c r="L1162" s="23"/>
      <c r="M1162" s="26" t="s">
        <v>597</v>
      </c>
      <c r="N1162" s="24">
        <v>2021</v>
      </c>
    </row>
    <row r="1163" spans="1:14">
      <c r="A1163" s="24">
        <v>2021</v>
      </c>
      <c r="B1163" s="24" t="s">
        <v>78</v>
      </c>
      <c r="C1163" s="24" t="s">
        <v>681</v>
      </c>
      <c r="D1163" s="24" t="s">
        <v>269</v>
      </c>
      <c r="E1163" s="23">
        <v>2</v>
      </c>
      <c r="F1163" s="24" t="s">
        <v>207</v>
      </c>
      <c r="G1163" s="24" t="s">
        <v>225</v>
      </c>
      <c r="H1163" s="23" t="s">
        <v>226</v>
      </c>
      <c r="I1163" s="24" t="s">
        <v>226</v>
      </c>
      <c r="J1163" s="23" t="s">
        <v>226</v>
      </c>
      <c r="K1163" s="24" t="s">
        <v>225</v>
      </c>
      <c r="L1163" s="23"/>
      <c r="M1163" s="26" t="s">
        <v>597</v>
      </c>
      <c r="N1163" s="24">
        <v>2021</v>
      </c>
    </row>
    <row r="1164" spans="1:14">
      <c r="A1164" s="24">
        <v>2021</v>
      </c>
      <c r="B1164" s="24" t="s">
        <v>136</v>
      </c>
      <c r="C1164" s="24" t="s">
        <v>160</v>
      </c>
      <c r="D1164" s="24" t="s">
        <v>165</v>
      </c>
      <c r="E1164" s="23">
        <v>1</v>
      </c>
      <c r="F1164" s="24" t="s">
        <v>207</v>
      </c>
      <c r="G1164" s="24" t="s">
        <v>225</v>
      </c>
      <c r="H1164" s="23" t="s">
        <v>226</v>
      </c>
      <c r="I1164" s="24" t="s">
        <v>225</v>
      </c>
      <c r="J1164" s="23" t="s">
        <v>226</v>
      </c>
      <c r="K1164" s="24" t="s">
        <v>225</v>
      </c>
      <c r="L1164" s="23"/>
      <c r="M1164" s="26" t="s">
        <v>598</v>
      </c>
      <c r="N1164" s="24">
        <v>2021</v>
      </c>
    </row>
    <row r="1165" spans="1:14">
      <c r="A1165" s="24">
        <v>2021</v>
      </c>
      <c r="B1165" s="24" t="s">
        <v>136</v>
      </c>
      <c r="C1165" s="24" t="s">
        <v>189</v>
      </c>
      <c r="D1165" s="24" t="s">
        <v>193</v>
      </c>
      <c r="E1165" s="23">
        <v>1</v>
      </c>
      <c r="F1165" s="24" t="s">
        <v>211</v>
      </c>
      <c r="G1165" s="24" t="s">
        <v>225</v>
      </c>
      <c r="H1165" s="23" t="s">
        <v>226</v>
      </c>
      <c r="I1165" s="24" t="s">
        <v>226</v>
      </c>
      <c r="J1165" s="23" t="s">
        <v>226</v>
      </c>
      <c r="K1165" s="24" t="s">
        <v>225</v>
      </c>
      <c r="L1165" s="23"/>
      <c r="M1165" s="26" t="s">
        <v>598</v>
      </c>
      <c r="N1165" s="24">
        <v>2021</v>
      </c>
    </row>
    <row r="1166" spans="1:14">
      <c r="A1166" s="24">
        <v>2021</v>
      </c>
      <c r="B1166" s="24" t="s">
        <v>136</v>
      </c>
      <c r="C1166" s="24" t="s">
        <v>189</v>
      </c>
      <c r="D1166" s="24" t="s">
        <v>258</v>
      </c>
      <c r="E1166" s="23"/>
      <c r="F1166" s="24" t="s">
        <v>207</v>
      </c>
      <c r="G1166" s="24" t="s">
        <v>225</v>
      </c>
      <c r="H1166" s="23" t="s">
        <v>225</v>
      </c>
      <c r="I1166" s="24" t="s">
        <v>225</v>
      </c>
      <c r="J1166" s="23" t="s">
        <v>226</v>
      </c>
      <c r="K1166" s="24" t="s">
        <v>225</v>
      </c>
      <c r="L1166" s="23"/>
      <c r="M1166" s="26" t="s">
        <v>599</v>
      </c>
      <c r="N1166" s="24">
        <v>2021</v>
      </c>
    </row>
    <row r="1167" spans="1:14">
      <c r="A1167" s="24">
        <v>2021</v>
      </c>
      <c r="B1167" s="24" t="s">
        <v>136</v>
      </c>
      <c r="C1167" s="24" t="s">
        <v>684</v>
      </c>
      <c r="D1167" s="24" t="s">
        <v>388</v>
      </c>
      <c r="E1167" s="23"/>
      <c r="F1167" s="24" t="s">
        <v>207</v>
      </c>
      <c r="G1167" s="24" t="s">
        <v>225</v>
      </c>
      <c r="H1167" s="23" t="s">
        <v>225</v>
      </c>
      <c r="I1167" s="24" t="s">
        <v>225</v>
      </c>
      <c r="J1167" s="23" t="s">
        <v>226</v>
      </c>
      <c r="K1167" s="24" t="s">
        <v>225</v>
      </c>
      <c r="L1167" s="23"/>
      <c r="M1167" s="26" t="s">
        <v>600</v>
      </c>
      <c r="N1167" s="24">
        <v>2021</v>
      </c>
    </row>
    <row r="1168" spans="1:14">
      <c r="A1168" s="24">
        <v>2021</v>
      </c>
      <c r="B1168" s="24" t="s">
        <v>78</v>
      </c>
      <c r="C1168" s="24" t="s">
        <v>79</v>
      </c>
      <c r="D1168" s="24" t="s">
        <v>50</v>
      </c>
      <c r="E1168" s="23">
        <v>34</v>
      </c>
      <c r="F1168" s="24" t="s">
        <v>207</v>
      </c>
      <c r="G1168" s="24" t="s">
        <v>225</v>
      </c>
      <c r="H1168" s="23" t="s">
        <v>226</v>
      </c>
      <c r="I1168" s="24" t="s">
        <v>226</v>
      </c>
      <c r="J1168" s="23" t="s">
        <v>226</v>
      </c>
      <c r="K1168" s="24" t="s">
        <v>225</v>
      </c>
      <c r="L1168" s="23"/>
      <c r="M1168" s="26" t="s">
        <v>601</v>
      </c>
      <c r="N1168" s="24">
        <v>2021</v>
      </c>
    </row>
    <row r="1169" spans="1:14">
      <c r="A1169" s="24">
        <v>2021</v>
      </c>
      <c r="B1169" s="24" t="s">
        <v>136</v>
      </c>
      <c r="C1169" s="24" t="s">
        <v>176</v>
      </c>
      <c r="D1169" s="24" t="s">
        <v>181</v>
      </c>
      <c r="E1169" s="23">
        <v>3</v>
      </c>
      <c r="F1169" s="24" t="s">
        <v>211</v>
      </c>
      <c r="G1169" s="24" t="s">
        <v>225</v>
      </c>
      <c r="H1169" s="23" t="s">
        <v>226</v>
      </c>
      <c r="I1169" s="24" t="s">
        <v>226</v>
      </c>
      <c r="J1169" s="23" t="s">
        <v>226</v>
      </c>
      <c r="K1169" s="24" t="s">
        <v>225</v>
      </c>
      <c r="L1169" s="23"/>
      <c r="M1169" s="26" t="s">
        <v>602</v>
      </c>
      <c r="N1169" s="24">
        <v>2021</v>
      </c>
    </row>
    <row r="1170" spans="1:14">
      <c r="A1170" s="24">
        <v>2021</v>
      </c>
      <c r="B1170" s="24" t="s">
        <v>136</v>
      </c>
      <c r="C1170" s="24" t="s">
        <v>176</v>
      </c>
      <c r="D1170" s="24" t="s">
        <v>184</v>
      </c>
      <c r="E1170" s="23"/>
      <c r="F1170" s="24" t="s">
        <v>207</v>
      </c>
      <c r="G1170" s="24" t="s">
        <v>225</v>
      </c>
      <c r="H1170" s="23" t="s">
        <v>225</v>
      </c>
      <c r="I1170" s="24" t="s">
        <v>225</v>
      </c>
      <c r="J1170" s="23" t="s">
        <v>226</v>
      </c>
      <c r="K1170" s="24" t="s">
        <v>225</v>
      </c>
      <c r="L1170" s="23"/>
      <c r="M1170" s="26" t="s">
        <v>602</v>
      </c>
      <c r="N1170" s="24">
        <v>2021</v>
      </c>
    </row>
    <row r="1171" spans="1:14">
      <c r="A1171" s="24">
        <v>2021</v>
      </c>
      <c r="B1171" s="24" t="s">
        <v>4</v>
      </c>
      <c r="C1171" s="24" t="s">
        <v>203</v>
      </c>
      <c r="D1171" s="24" t="s">
        <v>40</v>
      </c>
      <c r="E1171" s="23">
        <v>2</v>
      </c>
      <c r="F1171" s="24" t="s">
        <v>211</v>
      </c>
      <c r="G1171" s="24" t="s">
        <v>225</v>
      </c>
      <c r="H1171" s="23" t="s">
        <v>226</v>
      </c>
      <c r="I1171" s="24" t="s">
        <v>225</v>
      </c>
      <c r="J1171" s="23" t="s">
        <v>226</v>
      </c>
      <c r="K1171" s="24" t="s">
        <v>225</v>
      </c>
      <c r="L1171" s="23"/>
      <c r="M1171" s="26" t="s">
        <v>602</v>
      </c>
      <c r="N1171" s="24">
        <v>2021</v>
      </c>
    </row>
    <row r="1172" spans="1:14">
      <c r="A1172" s="24">
        <v>2021</v>
      </c>
      <c r="B1172" s="24" t="s">
        <v>4</v>
      </c>
      <c r="C1172" s="24" t="s">
        <v>5</v>
      </c>
      <c r="D1172" s="24" t="s">
        <v>13</v>
      </c>
      <c r="E1172" s="23">
        <v>4</v>
      </c>
      <c r="F1172" s="24" t="s">
        <v>207</v>
      </c>
      <c r="G1172" s="24" t="s">
        <v>225</v>
      </c>
      <c r="H1172" s="23" t="s">
        <v>226</v>
      </c>
      <c r="I1172" s="24" t="s">
        <v>226</v>
      </c>
      <c r="J1172" s="23" t="s">
        <v>226</v>
      </c>
      <c r="K1172" s="24" t="s">
        <v>225</v>
      </c>
      <c r="L1172" s="23"/>
      <c r="M1172" s="26" t="s">
        <v>602</v>
      </c>
      <c r="N1172" s="24">
        <v>2021</v>
      </c>
    </row>
    <row r="1173" spans="1:14">
      <c r="A1173" s="24">
        <v>2021</v>
      </c>
      <c r="B1173" s="24" t="s">
        <v>136</v>
      </c>
      <c r="C1173" s="24" t="s">
        <v>171</v>
      </c>
      <c r="D1173" s="24" t="s">
        <v>172</v>
      </c>
      <c r="E1173" s="23">
        <v>3</v>
      </c>
      <c r="F1173" s="24" t="s">
        <v>207</v>
      </c>
      <c r="G1173" s="24" t="s">
        <v>225</v>
      </c>
      <c r="H1173" s="23" t="s">
        <v>226</v>
      </c>
      <c r="I1173" s="24" t="s">
        <v>226</v>
      </c>
      <c r="J1173" s="23" t="s">
        <v>226</v>
      </c>
      <c r="K1173" s="24" t="s">
        <v>225</v>
      </c>
      <c r="L1173" s="23"/>
      <c r="M1173" s="26" t="s">
        <v>602</v>
      </c>
      <c r="N1173" s="24">
        <v>2021</v>
      </c>
    </row>
    <row r="1174" spans="1:14">
      <c r="A1174" s="24">
        <v>2021</v>
      </c>
      <c r="B1174" s="24" t="s">
        <v>136</v>
      </c>
      <c r="C1174" s="24" t="s">
        <v>146</v>
      </c>
      <c r="D1174" s="24" t="s">
        <v>326</v>
      </c>
      <c r="E1174" s="23">
        <v>5</v>
      </c>
      <c r="F1174" s="24" t="s">
        <v>211</v>
      </c>
      <c r="G1174" s="24" t="s">
        <v>225</v>
      </c>
      <c r="H1174" s="23" t="s">
        <v>226</v>
      </c>
      <c r="I1174" s="24" t="s">
        <v>225</v>
      </c>
      <c r="J1174" s="23" t="s">
        <v>226</v>
      </c>
      <c r="K1174" s="24" t="s">
        <v>225</v>
      </c>
      <c r="L1174" s="23"/>
      <c r="M1174" s="26" t="s">
        <v>602</v>
      </c>
      <c r="N1174" s="24">
        <v>2021</v>
      </c>
    </row>
    <row r="1175" spans="1:14">
      <c r="A1175" s="24">
        <v>2021</v>
      </c>
      <c r="B1175" s="24" t="s">
        <v>4</v>
      </c>
      <c r="C1175" s="24" t="s">
        <v>18</v>
      </c>
      <c r="D1175" s="24" t="s">
        <v>21</v>
      </c>
      <c r="E1175" s="23">
        <v>2</v>
      </c>
      <c r="F1175" s="24" t="s">
        <v>211</v>
      </c>
      <c r="G1175" s="24" t="s">
        <v>225</v>
      </c>
      <c r="H1175" s="23" t="s">
        <v>226</v>
      </c>
      <c r="I1175" s="24" t="s">
        <v>226</v>
      </c>
      <c r="J1175" s="23" t="s">
        <v>226</v>
      </c>
      <c r="K1175" s="24" t="s">
        <v>225</v>
      </c>
      <c r="L1175" s="23"/>
      <c r="M1175" s="26" t="s">
        <v>602</v>
      </c>
      <c r="N1175" s="24">
        <v>2021</v>
      </c>
    </row>
    <row r="1176" spans="1:14">
      <c r="A1176" s="24">
        <v>2021</v>
      </c>
      <c r="B1176" s="24" t="s">
        <v>78</v>
      </c>
      <c r="C1176" s="24" t="s">
        <v>80</v>
      </c>
      <c r="D1176" s="24" t="s">
        <v>81</v>
      </c>
      <c r="E1176" s="23">
        <v>5</v>
      </c>
      <c r="F1176" s="24" t="s">
        <v>211</v>
      </c>
      <c r="G1176" s="24" t="s">
        <v>225</v>
      </c>
      <c r="H1176" s="23" t="s">
        <v>226</v>
      </c>
      <c r="I1176" s="24" t="s">
        <v>226</v>
      </c>
      <c r="J1176" s="23" t="s">
        <v>226</v>
      </c>
      <c r="K1176" s="24" t="s">
        <v>225</v>
      </c>
      <c r="L1176" s="23"/>
      <c r="M1176" s="26" t="s">
        <v>602</v>
      </c>
      <c r="N1176" s="24">
        <v>2021</v>
      </c>
    </row>
    <row r="1177" spans="1:14">
      <c r="A1177" s="24">
        <v>2021</v>
      </c>
      <c r="B1177" s="24" t="s">
        <v>4</v>
      </c>
      <c r="C1177" s="24" t="s">
        <v>23</v>
      </c>
      <c r="D1177" s="24" t="s">
        <v>27</v>
      </c>
      <c r="E1177" s="23">
        <v>13</v>
      </c>
      <c r="F1177" s="24" t="s">
        <v>207</v>
      </c>
      <c r="G1177" s="24" t="s">
        <v>225</v>
      </c>
      <c r="H1177" s="23" t="s">
        <v>226</v>
      </c>
      <c r="I1177" s="24" t="s">
        <v>225</v>
      </c>
      <c r="J1177" s="23" t="s">
        <v>226</v>
      </c>
      <c r="K1177" s="24" t="s">
        <v>225</v>
      </c>
      <c r="L1177" s="23"/>
      <c r="M1177" s="26" t="s">
        <v>603</v>
      </c>
      <c r="N1177" s="24">
        <v>2021</v>
      </c>
    </row>
    <row r="1178" spans="1:14">
      <c r="A1178" s="24">
        <v>2021</v>
      </c>
      <c r="B1178" s="24" t="s">
        <v>136</v>
      </c>
      <c r="C1178" s="24" t="s">
        <v>137</v>
      </c>
      <c r="D1178" s="24" t="s">
        <v>138</v>
      </c>
      <c r="E1178" s="23">
        <v>22</v>
      </c>
      <c r="F1178" s="24" t="s">
        <v>207</v>
      </c>
      <c r="G1178" s="24" t="s">
        <v>225</v>
      </c>
      <c r="H1178" s="23" t="s">
        <v>226</v>
      </c>
      <c r="I1178" s="24" t="s">
        <v>226</v>
      </c>
      <c r="J1178" s="23" t="s">
        <v>226</v>
      </c>
      <c r="K1178" s="24" t="s">
        <v>225</v>
      </c>
      <c r="L1178" s="23"/>
      <c r="M1178" s="26" t="s">
        <v>604</v>
      </c>
      <c r="N1178" s="24">
        <v>2021</v>
      </c>
    </row>
    <row r="1179" spans="1:14">
      <c r="A1179" s="24">
        <v>2021</v>
      </c>
      <c r="B1179" s="24" t="s">
        <v>136</v>
      </c>
      <c r="C1179" s="24" t="s">
        <v>152</v>
      </c>
      <c r="D1179" s="24" t="s">
        <v>155</v>
      </c>
      <c r="E1179" s="23"/>
      <c r="F1179" s="24" t="s">
        <v>207</v>
      </c>
      <c r="G1179" s="24" t="s">
        <v>225</v>
      </c>
      <c r="H1179" s="23" t="s">
        <v>225</v>
      </c>
      <c r="I1179" s="24" t="s">
        <v>226</v>
      </c>
      <c r="J1179" s="23" t="s">
        <v>226</v>
      </c>
      <c r="K1179" s="24" t="s">
        <v>225</v>
      </c>
      <c r="L1179" s="23"/>
      <c r="M1179" s="26" t="s">
        <v>604</v>
      </c>
      <c r="N1179" s="24">
        <v>2021</v>
      </c>
    </row>
    <row r="1180" spans="1:14">
      <c r="A1180" s="24">
        <v>2021</v>
      </c>
      <c r="B1180" s="24" t="s">
        <v>136</v>
      </c>
      <c r="C1180" s="24" t="s">
        <v>176</v>
      </c>
      <c r="D1180" s="24" t="s">
        <v>186</v>
      </c>
      <c r="E1180" s="23"/>
      <c r="F1180" s="24" t="s">
        <v>207</v>
      </c>
      <c r="G1180" s="24" t="s">
        <v>225</v>
      </c>
      <c r="H1180" s="23" t="s">
        <v>225</v>
      </c>
      <c r="I1180" s="24" t="s">
        <v>225</v>
      </c>
      <c r="J1180" s="23" t="s">
        <v>226</v>
      </c>
      <c r="K1180" s="24" t="s">
        <v>225</v>
      </c>
      <c r="L1180" s="23"/>
      <c r="M1180" s="26" t="s">
        <v>605</v>
      </c>
      <c r="N1180" s="24">
        <v>2021</v>
      </c>
    </row>
    <row r="1181" spans="1:14">
      <c r="A1181" s="24">
        <v>2021</v>
      </c>
      <c r="B1181" s="24" t="s">
        <v>4</v>
      </c>
      <c r="C1181" s="24" t="s">
        <v>5</v>
      </c>
      <c r="D1181" s="24" t="s">
        <v>10</v>
      </c>
      <c r="E1181" s="23"/>
      <c r="F1181" s="24" t="s">
        <v>211</v>
      </c>
      <c r="G1181" s="24" t="s">
        <v>225</v>
      </c>
      <c r="H1181" s="23" t="s">
        <v>225</v>
      </c>
      <c r="I1181" s="24" t="s">
        <v>225</v>
      </c>
      <c r="J1181" s="23" t="s">
        <v>226</v>
      </c>
      <c r="K1181" s="24" t="s">
        <v>225</v>
      </c>
      <c r="L1181" s="23"/>
      <c r="M1181" s="26" t="s">
        <v>606</v>
      </c>
      <c r="N1181" s="24">
        <v>2021</v>
      </c>
    </row>
    <row r="1182" spans="1:14">
      <c r="A1182" s="24">
        <v>2021</v>
      </c>
      <c r="B1182" s="24" t="s">
        <v>136</v>
      </c>
      <c r="C1182" s="24" t="s">
        <v>176</v>
      </c>
      <c r="D1182" s="24" t="s">
        <v>179</v>
      </c>
      <c r="E1182" s="23">
        <v>2</v>
      </c>
      <c r="F1182" s="24" t="s">
        <v>207</v>
      </c>
      <c r="G1182" s="24" t="s">
        <v>225</v>
      </c>
      <c r="H1182" s="23" t="s">
        <v>226</v>
      </c>
      <c r="I1182" s="24" t="s">
        <v>225</v>
      </c>
      <c r="J1182" s="23" t="s">
        <v>226</v>
      </c>
      <c r="K1182" s="24" t="s">
        <v>225</v>
      </c>
      <c r="L1182" s="23"/>
      <c r="M1182" s="26" t="s">
        <v>606</v>
      </c>
      <c r="N1182" s="24">
        <v>2021</v>
      </c>
    </row>
    <row r="1183" spans="1:14">
      <c r="A1183" s="24">
        <v>2021</v>
      </c>
      <c r="B1183" s="24" t="s">
        <v>4</v>
      </c>
      <c r="C1183" s="24" t="s">
        <v>23</v>
      </c>
      <c r="D1183" s="24" t="s">
        <v>26</v>
      </c>
      <c r="E1183" s="23">
        <v>3</v>
      </c>
      <c r="F1183" s="24" t="s">
        <v>211</v>
      </c>
      <c r="G1183" s="24" t="s">
        <v>225</v>
      </c>
      <c r="H1183" s="23" t="s">
        <v>226</v>
      </c>
      <c r="I1183" s="24" t="s">
        <v>225</v>
      </c>
      <c r="J1183" s="23" t="s">
        <v>226</v>
      </c>
      <c r="K1183" s="24" t="s">
        <v>225</v>
      </c>
      <c r="L1183" s="23"/>
      <c r="M1183" s="25">
        <v>44481</v>
      </c>
      <c r="N1183" s="24">
        <v>2021</v>
      </c>
    </row>
    <row r="1184" spans="1:14">
      <c r="A1184" s="24">
        <v>2021</v>
      </c>
      <c r="B1184" s="24" t="s">
        <v>136</v>
      </c>
      <c r="C1184" s="24" t="s">
        <v>137</v>
      </c>
      <c r="D1184" s="24" t="s">
        <v>139</v>
      </c>
      <c r="E1184" s="23">
        <v>1</v>
      </c>
      <c r="F1184" s="24" t="s">
        <v>211</v>
      </c>
      <c r="G1184" s="24" t="s">
        <v>225</v>
      </c>
      <c r="H1184" s="23" t="s">
        <v>226</v>
      </c>
      <c r="I1184" s="24" t="s">
        <v>225</v>
      </c>
      <c r="J1184" s="23" t="s">
        <v>226</v>
      </c>
      <c r="K1184" s="24" t="s">
        <v>225</v>
      </c>
      <c r="L1184" s="23"/>
      <c r="M1184" s="25">
        <v>44481</v>
      </c>
      <c r="N1184" s="24">
        <v>2021</v>
      </c>
    </row>
    <row r="1185" spans="1:14">
      <c r="A1185" s="24">
        <v>2021</v>
      </c>
      <c r="B1185" s="24" t="s">
        <v>136</v>
      </c>
      <c r="C1185" s="24" t="s">
        <v>137</v>
      </c>
      <c r="D1185" s="24" t="s">
        <v>141</v>
      </c>
      <c r="E1185" s="23">
        <v>2</v>
      </c>
      <c r="F1185" s="24" t="s">
        <v>207</v>
      </c>
      <c r="G1185" s="24" t="s">
        <v>225</v>
      </c>
      <c r="H1185" s="23" t="s">
        <v>226</v>
      </c>
      <c r="I1185" s="24" t="s">
        <v>225</v>
      </c>
      <c r="J1185" s="23" t="s">
        <v>226</v>
      </c>
      <c r="K1185" s="24" t="s">
        <v>225</v>
      </c>
      <c r="L1185" s="23"/>
      <c r="M1185" s="25">
        <v>44481</v>
      </c>
      <c r="N1185" s="24">
        <v>2021</v>
      </c>
    </row>
    <row r="1186" spans="1:14">
      <c r="A1186" s="24">
        <v>2021</v>
      </c>
      <c r="B1186" s="24" t="s">
        <v>136</v>
      </c>
      <c r="C1186" s="24" t="s">
        <v>189</v>
      </c>
      <c r="D1186" s="24" t="s">
        <v>195</v>
      </c>
      <c r="E1186" s="23"/>
      <c r="F1186" s="24" t="s">
        <v>211</v>
      </c>
      <c r="G1186" s="24" t="s">
        <v>225</v>
      </c>
      <c r="H1186" s="23" t="s">
        <v>225</v>
      </c>
      <c r="I1186" s="24" t="s">
        <v>226</v>
      </c>
      <c r="J1186" s="23" t="s">
        <v>226</v>
      </c>
      <c r="K1186" s="24" t="s">
        <v>225</v>
      </c>
      <c r="L1186" s="23"/>
      <c r="M1186" s="25">
        <v>44481</v>
      </c>
      <c r="N1186" s="24">
        <v>2021</v>
      </c>
    </row>
    <row r="1187" spans="1:14">
      <c r="A1187" s="24">
        <v>2021</v>
      </c>
      <c r="B1187" s="24" t="s">
        <v>136</v>
      </c>
      <c r="C1187" s="24" t="s">
        <v>189</v>
      </c>
      <c r="D1187" s="24" t="s">
        <v>193</v>
      </c>
      <c r="E1187" s="23"/>
      <c r="F1187" s="24" t="s">
        <v>211</v>
      </c>
      <c r="G1187" s="24" t="s">
        <v>225</v>
      </c>
      <c r="H1187" s="23" t="s">
        <v>225</v>
      </c>
      <c r="I1187" s="24" t="s">
        <v>226</v>
      </c>
      <c r="J1187" s="23" t="s">
        <v>226</v>
      </c>
      <c r="K1187" s="24" t="s">
        <v>225</v>
      </c>
      <c r="L1187" s="23"/>
      <c r="M1187" s="25">
        <v>44481</v>
      </c>
      <c r="N1187" s="24">
        <v>2021</v>
      </c>
    </row>
    <row r="1188" spans="1:14">
      <c r="A1188" s="24">
        <v>2021</v>
      </c>
      <c r="B1188" s="24" t="s">
        <v>4</v>
      </c>
      <c r="C1188" s="24" t="s">
        <v>5</v>
      </c>
      <c r="D1188" s="24" t="s">
        <v>9</v>
      </c>
      <c r="E1188" s="23">
        <v>9</v>
      </c>
      <c r="F1188" s="24" t="s">
        <v>211</v>
      </c>
      <c r="G1188" s="24" t="s">
        <v>225</v>
      </c>
      <c r="H1188" s="23" t="s">
        <v>226</v>
      </c>
      <c r="I1188" s="24" t="s">
        <v>225</v>
      </c>
      <c r="J1188" s="23" t="s">
        <v>226</v>
      </c>
      <c r="K1188" s="24" t="s">
        <v>225</v>
      </c>
      <c r="L1188" s="23"/>
      <c r="M1188" s="25">
        <v>44481</v>
      </c>
      <c r="N1188" s="24">
        <v>2021</v>
      </c>
    </row>
    <row r="1189" spans="1:14">
      <c r="A1189" s="24">
        <v>2021</v>
      </c>
      <c r="B1189" s="24" t="s">
        <v>136</v>
      </c>
      <c r="C1189" s="24" t="s">
        <v>137</v>
      </c>
      <c r="D1189" s="24" t="s">
        <v>365</v>
      </c>
      <c r="E1189" s="23">
        <v>4</v>
      </c>
      <c r="F1189" s="24" t="s">
        <v>207</v>
      </c>
      <c r="G1189" s="24" t="s">
        <v>225</v>
      </c>
      <c r="H1189" s="23" t="s">
        <v>226</v>
      </c>
      <c r="I1189" s="24" t="s">
        <v>225</v>
      </c>
      <c r="J1189" s="23" t="s">
        <v>226</v>
      </c>
      <c r="K1189" s="24" t="s">
        <v>225</v>
      </c>
      <c r="L1189" s="23"/>
      <c r="M1189" s="25">
        <v>44481</v>
      </c>
      <c r="N1189" s="24">
        <v>2021</v>
      </c>
    </row>
    <row r="1190" spans="1:14">
      <c r="A1190" s="24">
        <v>2021</v>
      </c>
      <c r="B1190" s="24" t="s">
        <v>136</v>
      </c>
      <c r="C1190" s="24" t="s">
        <v>168</v>
      </c>
      <c r="D1190" s="24" t="s">
        <v>314</v>
      </c>
      <c r="E1190" s="23"/>
      <c r="F1190" s="24" t="s">
        <v>211</v>
      </c>
      <c r="G1190" s="24" t="s">
        <v>225</v>
      </c>
      <c r="H1190" s="23" t="s">
        <v>225</v>
      </c>
      <c r="I1190" s="24" t="s">
        <v>225</v>
      </c>
      <c r="J1190" s="23" t="s">
        <v>226</v>
      </c>
      <c r="K1190" s="24" t="s">
        <v>225</v>
      </c>
      <c r="L1190" s="23"/>
      <c r="M1190" s="25">
        <v>44481</v>
      </c>
      <c r="N1190" s="24">
        <v>2021</v>
      </c>
    </row>
    <row r="1191" spans="1:14">
      <c r="A1191" s="24">
        <v>2021</v>
      </c>
      <c r="B1191" s="24" t="s">
        <v>4</v>
      </c>
      <c r="C1191" s="24" t="s">
        <v>203</v>
      </c>
      <c r="D1191" s="24" t="s">
        <v>40</v>
      </c>
      <c r="E1191" s="23">
        <v>13</v>
      </c>
      <c r="F1191" s="24" t="s">
        <v>211</v>
      </c>
      <c r="G1191" s="24" t="s">
        <v>225</v>
      </c>
      <c r="H1191" s="23" t="s">
        <v>226</v>
      </c>
      <c r="I1191" s="24" t="s">
        <v>226</v>
      </c>
      <c r="J1191" s="23" t="s">
        <v>226</v>
      </c>
      <c r="K1191" s="24" t="s">
        <v>225</v>
      </c>
      <c r="L1191" s="23"/>
      <c r="M1191" s="25">
        <v>44481</v>
      </c>
      <c r="N1191" s="24">
        <v>2021</v>
      </c>
    </row>
    <row r="1192" spans="1:14">
      <c r="A1192" s="24">
        <v>2021</v>
      </c>
      <c r="B1192" s="24" t="s">
        <v>78</v>
      </c>
      <c r="C1192" s="24" t="s">
        <v>681</v>
      </c>
      <c r="D1192" s="24" t="s">
        <v>198</v>
      </c>
      <c r="E1192" s="23">
        <v>4</v>
      </c>
      <c r="F1192" s="24" t="s">
        <v>207</v>
      </c>
      <c r="G1192" s="24" t="s">
        <v>225</v>
      </c>
      <c r="H1192" s="23" t="s">
        <v>226</v>
      </c>
      <c r="I1192" s="24" t="s">
        <v>226</v>
      </c>
      <c r="J1192" s="23" t="s">
        <v>226</v>
      </c>
      <c r="K1192" s="24" t="s">
        <v>225</v>
      </c>
      <c r="L1192" s="23"/>
      <c r="M1192" s="25">
        <v>44481</v>
      </c>
      <c r="N1192" s="24">
        <v>2021</v>
      </c>
    </row>
    <row r="1193" spans="1:14">
      <c r="A1193" s="24">
        <v>2021</v>
      </c>
      <c r="B1193" s="24" t="s">
        <v>136</v>
      </c>
      <c r="C1193" s="24" t="s">
        <v>168</v>
      </c>
      <c r="D1193" s="24" t="s">
        <v>170</v>
      </c>
      <c r="E1193" s="23">
        <v>2</v>
      </c>
      <c r="F1193" s="24" t="s">
        <v>211</v>
      </c>
      <c r="G1193" s="24" t="s">
        <v>225</v>
      </c>
      <c r="H1193" s="23" t="s">
        <v>226</v>
      </c>
      <c r="I1193" s="24" t="s">
        <v>226</v>
      </c>
      <c r="J1193" s="23" t="s">
        <v>226</v>
      </c>
      <c r="K1193" s="24" t="s">
        <v>225</v>
      </c>
      <c r="L1193" s="23"/>
      <c r="M1193" s="26" t="s">
        <v>607</v>
      </c>
      <c r="N1193" s="24">
        <v>2021</v>
      </c>
    </row>
    <row r="1194" spans="1:14">
      <c r="A1194" s="24">
        <v>2021</v>
      </c>
      <c r="B1194" s="24" t="s">
        <v>78</v>
      </c>
      <c r="C1194" s="24" t="s">
        <v>95</v>
      </c>
      <c r="D1194" s="24" t="s">
        <v>98</v>
      </c>
      <c r="E1194" s="23">
        <v>1</v>
      </c>
      <c r="F1194" s="24" t="s">
        <v>211</v>
      </c>
      <c r="G1194" s="24" t="s">
        <v>225</v>
      </c>
      <c r="H1194" s="23" t="s">
        <v>226</v>
      </c>
      <c r="I1194" s="24" t="s">
        <v>225</v>
      </c>
      <c r="J1194" s="23" t="s">
        <v>226</v>
      </c>
      <c r="K1194" s="24" t="s">
        <v>225</v>
      </c>
      <c r="L1194" s="23"/>
      <c r="M1194" s="26" t="s">
        <v>608</v>
      </c>
      <c r="N1194" s="24">
        <v>2021</v>
      </c>
    </row>
    <row r="1195" spans="1:14">
      <c r="A1195" s="24">
        <v>2021</v>
      </c>
      <c r="B1195" s="24" t="s">
        <v>4</v>
      </c>
      <c r="C1195" s="24" t="s">
        <v>5</v>
      </c>
      <c r="D1195" s="24" t="s">
        <v>10</v>
      </c>
      <c r="E1195" s="23">
        <v>5</v>
      </c>
      <c r="F1195" s="24" t="s">
        <v>211</v>
      </c>
      <c r="G1195" s="24" t="s">
        <v>225</v>
      </c>
      <c r="H1195" s="23" t="s">
        <v>226</v>
      </c>
      <c r="I1195" s="24" t="s">
        <v>226</v>
      </c>
      <c r="J1195" s="23" t="s">
        <v>226</v>
      </c>
      <c r="K1195" s="24" t="s">
        <v>225</v>
      </c>
      <c r="L1195" s="23"/>
      <c r="M1195" s="26" t="s">
        <v>609</v>
      </c>
      <c r="N1195" s="24">
        <v>2021</v>
      </c>
    </row>
    <row r="1196" spans="1:14">
      <c r="A1196" s="24">
        <v>2021</v>
      </c>
      <c r="B1196" s="24" t="s">
        <v>136</v>
      </c>
      <c r="C1196" s="24" t="s">
        <v>682</v>
      </c>
      <c r="D1196" s="24" t="s">
        <v>167</v>
      </c>
      <c r="E1196" s="23"/>
      <c r="F1196" s="24" t="s">
        <v>207</v>
      </c>
      <c r="G1196" s="24" t="s">
        <v>225</v>
      </c>
      <c r="H1196" s="23" t="s">
        <v>225</v>
      </c>
      <c r="I1196" s="24" t="s">
        <v>225</v>
      </c>
      <c r="J1196" s="23" t="s">
        <v>226</v>
      </c>
      <c r="K1196" s="24" t="s">
        <v>225</v>
      </c>
      <c r="L1196" s="23"/>
      <c r="M1196" s="26" t="s">
        <v>609</v>
      </c>
      <c r="N1196" s="24">
        <v>2021</v>
      </c>
    </row>
    <row r="1197" spans="1:14">
      <c r="A1197" s="24">
        <v>2021</v>
      </c>
      <c r="B1197" s="24" t="s">
        <v>78</v>
      </c>
      <c r="C1197" s="24" t="s">
        <v>681</v>
      </c>
      <c r="D1197" s="24" t="s">
        <v>131</v>
      </c>
      <c r="E1197" s="23">
        <v>9</v>
      </c>
      <c r="F1197" s="24" t="s">
        <v>207</v>
      </c>
      <c r="G1197" s="24" t="s">
        <v>225</v>
      </c>
      <c r="H1197" s="23" t="s">
        <v>226</v>
      </c>
      <c r="I1197" s="24" t="s">
        <v>225</v>
      </c>
      <c r="J1197" s="23" t="s">
        <v>226</v>
      </c>
      <c r="K1197" s="24" t="s">
        <v>225</v>
      </c>
      <c r="L1197" s="23"/>
      <c r="M1197" s="26" t="s">
        <v>610</v>
      </c>
      <c r="N1197" s="24">
        <v>2021</v>
      </c>
    </row>
    <row r="1198" spans="1:14">
      <c r="A1198" s="24">
        <v>2021</v>
      </c>
      <c r="B1198" s="24" t="s">
        <v>136</v>
      </c>
      <c r="C1198" s="24" t="s">
        <v>160</v>
      </c>
      <c r="D1198" s="24" t="s">
        <v>206</v>
      </c>
      <c r="E1198" s="23">
        <v>2</v>
      </c>
      <c r="F1198" s="24" t="s">
        <v>207</v>
      </c>
      <c r="G1198" s="24" t="s">
        <v>225</v>
      </c>
      <c r="H1198" s="23" t="s">
        <v>226</v>
      </c>
      <c r="I1198" s="24" t="s">
        <v>226</v>
      </c>
      <c r="J1198" s="23" t="s">
        <v>226</v>
      </c>
      <c r="K1198" s="24" t="s">
        <v>225</v>
      </c>
      <c r="L1198" s="23"/>
      <c r="M1198" s="26" t="s">
        <v>610</v>
      </c>
      <c r="N1198" s="24">
        <v>2021</v>
      </c>
    </row>
    <row r="1199" spans="1:14">
      <c r="A1199" s="24">
        <v>2021</v>
      </c>
      <c r="B1199" s="24" t="s">
        <v>136</v>
      </c>
      <c r="C1199" s="24" t="s">
        <v>152</v>
      </c>
      <c r="D1199" s="24" t="s">
        <v>159</v>
      </c>
      <c r="E1199" s="23"/>
      <c r="F1199" s="24" t="s">
        <v>207</v>
      </c>
      <c r="G1199" s="24" t="s">
        <v>225</v>
      </c>
      <c r="H1199" s="23" t="s">
        <v>225</v>
      </c>
      <c r="I1199" s="24" t="s">
        <v>225</v>
      </c>
      <c r="J1199" s="23" t="s">
        <v>226</v>
      </c>
      <c r="K1199" s="24" t="s">
        <v>225</v>
      </c>
      <c r="L1199" s="23"/>
      <c r="M1199" s="26" t="s">
        <v>611</v>
      </c>
      <c r="N1199" s="24">
        <v>2021</v>
      </c>
    </row>
    <row r="1200" spans="1:14">
      <c r="A1200" s="24">
        <v>2021</v>
      </c>
      <c r="B1200" s="24" t="s">
        <v>136</v>
      </c>
      <c r="C1200" s="24" t="s">
        <v>160</v>
      </c>
      <c r="D1200" s="24" t="s">
        <v>612</v>
      </c>
      <c r="E1200" s="23">
        <v>1</v>
      </c>
      <c r="F1200" s="24" t="s">
        <v>207</v>
      </c>
      <c r="G1200" s="24" t="s">
        <v>225</v>
      </c>
      <c r="H1200" s="23" t="s">
        <v>226</v>
      </c>
      <c r="I1200" s="24" t="s">
        <v>226</v>
      </c>
      <c r="J1200" s="23" t="s">
        <v>226</v>
      </c>
      <c r="K1200" s="24" t="s">
        <v>225</v>
      </c>
      <c r="L1200" s="23"/>
      <c r="M1200" s="26" t="s">
        <v>611</v>
      </c>
      <c r="N1200" s="24">
        <v>2021</v>
      </c>
    </row>
    <row r="1201" spans="1:14">
      <c r="A1201" s="24">
        <v>2021</v>
      </c>
      <c r="B1201" s="24" t="s">
        <v>4</v>
      </c>
      <c r="C1201" s="24" t="s">
        <v>5</v>
      </c>
      <c r="D1201" s="24" t="s">
        <v>10</v>
      </c>
      <c r="E1201" s="23">
        <v>2</v>
      </c>
      <c r="F1201" s="24" t="s">
        <v>211</v>
      </c>
      <c r="G1201" s="24" t="s">
        <v>225</v>
      </c>
      <c r="H1201" s="23" t="s">
        <v>226</v>
      </c>
      <c r="I1201" s="24" t="s">
        <v>225</v>
      </c>
      <c r="J1201" s="23" t="s">
        <v>226</v>
      </c>
      <c r="K1201" s="24" t="s">
        <v>225</v>
      </c>
      <c r="L1201" s="23"/>
      <c r="M1201" s="26" t="s">
        <v>611</v>
      </c>
      <c r="N1201" s="24">
        <v>2021</v>
      </c>
    </row>
    <row r="1202" spans="1:14">
      <c r="A1202" s="24">
        <v>2021</v>
      </c>
      <c r="B1202" s="24" t="s">
        <v>78</v>
      </c>
      <c r="C1202" s="24" t="s">
        <v>683</v>
      </c>
      <c r="D1202" s="24" t="s">
        <v>115</v>
      </c>
      <c r="E1202" s="23">
        <v>1</v>
      </c>
      <c r="F1202" s="24" t="s">
        <v>207</v>
      </c>
      <c r="G1202" s="24" t="s">
        <v>225</v>
      </c>
      <c r="H1202" s="23" t="s">
        <v>226</v>
      </c>
      <c r="I1202" s="24" t="s">
        <v>225</v>
      </c>
      <c r="J1202" s="23" t="s">
        <v>226</v>
      </c>
      <c r="K1202" s="24" t="s">
        <v>225</v>
      </c>
      <c r="L1202" s="23"/>
      <c r="M1202" s="26" t="s">
        <v>613</v>
      </c>
      <c r="N1202" s="24">
        <v>2021</v>
      </c>
    </row>
    <row r="1203" spans="1:14">
      <c r="A1203" s="24">
        <v>2021</v>
      </c>
      <c r="B1203" s="24" t="s">
        <v>4</v>
      </c>
      <c r="C1203" s="24" t="s">
        <v>23</v>
      </c>
      <c r="D1203" s="24" t="s">
        <v>30</v>
      </c>
      <c r="E1203" s="23">
        <v>8</v>
      </c>
      <c r="F1203" s="24" t="s">
        <v>211</v>
      </c>
      <c r="G1203" s="24" t="s">
        <v>225</v>
      </c>
      <c r="H1203" s="23" t="s">
        <v>226</v>
      </c>
      <c r="I1203" s="24" t="s">
        <v>225</v>
      </c>
      <c r="J1203" s="23" t="s">
        <v>226</v>
      </c>
      <c r="K1203" s="24" t="s">
        <v>225</v>
      </c>
      <c r="L1203" s="23"/>
      <c r="M1203" s="26" t="s">
        <v>614</v>
      </c>
      <c r="N1203" s="24">
        <v>2021</v>
      </c>
    </row>
    <row r="1204" spans="1:14">
      <c r="A1204" s="24">
        <v>2021</v>
      </c>
      <c r="B1204" s="24" t="s">
        <v>136</v>
      </c>
      <c r="C1204" s="24" t="s">
        <v>146</v>
      </c>
      <c r="D1204" s="24" t="s">
        <v>326</v>
      </c>
      <c r="E1204" s="23">
        <v>1</v>
      </c>
      <c r="F1204" s="24" t="s">
        <v>207</v>
      </c>
      <c r="G1204" s="24" t="s">
        <v>225</v>
      </c>
      <c r="H1204" s="23" t="s">
        <v>226</v>
      </c>
      <c r="I1204" s="24" t="s">
        <v>225</v>
      </c>
      <c r="J1204" s="23" t="s">
        <v>226</v>
      </c>
      <c r="K1204" s="24" t="s">
        <v>225</v>
      </c>
      <c r="L1204" s="23"/>
      <c r="M1204" s="26" t="s">
        <v>614</v>
      </c>
      <c r="N1204" s="24">
        <v>2021</v>
      </c>
    </row>
    <row r="1205" spans="1:14">
      <c r="A1205" s="24">
        <v>2021</v>
      </c>
      <c r="B1205" s="24" t="s">
        <v>136</v>
      </c>
      <c r="C1205" s="24" t="s">
        <v>176</v>
      </c>
      <c r="D1205" s="24" t="s">
        <v>177</v>
      </c>
      <c r="E1205" s="23"/>
      <c r="F1205" s="24" t="s">
        <v>211</v>
      </c>
      <c r="G1205" s="23" t="s">
        <v>226</v>
      </c>
      <c r="H1205" s="23" t="s">
        <v>225</v>
      </c>
      <c r="I1205" s="24" t="s">
        <v>225</v>
      </c>
      <c r="J1205" s="23" t="s">
        <v>226</v>
      </c>
      <c r="K1205" s="24" t="s">
        <v>225</v>
      </c>
      <c r="L1205" s="23"/>
      <c r="M1205" s="26" t="s">
        <v>615</v>
      </c>
      <c r="N1205" s="24">
        <v>2021</v>
      </c>
    </row>
    <row r="1206" spans="1:14">
      <c r="A1206" s="24">
        <v>2021</v>
      </c>
      <c r="B1206" s="24" t="s">
        <v>136</v>
      </c>
      <c r="C1206" s="24" t="s">
        <v>160</v>
      </c>
      <c r="D1206" s="24" t="s">
        <v>161</v>
      </c>
      <c r="E1206" s="23">
        <v>3</v>
      </c>
      <c r="F1206" s="24" t="s">
        <v>207</v>
      </c>
      <c r="G1206" s="24" t="s">
        <v>225</v>
      </c>
      <c r="H1206" s="23" t="s">
        <v>226</v>
      </c>
      <c r="I1206" s="24" t="s">
        <v>226</v>
      </c>
      <c r="J1206" s="23" t="s">
        <v>226</v>
      </c>
      <c r="K1206" s="24" t="s">
        <v>225</v>
      </c>
      <c r="L1206" s="23"/>
      <c r="M1206" s="26" t="s">
        <v>616</v>
      </c>
      <c r="N1206" s="24">
        <v>2021</v>
      </c>
    </row>
    <row r="1207" spans="1:14">
      <c r="A1207" s="24">
        <v>2021</v>
      </c>
      <c r="B1207" s="24" t="s">
        <v>136</v>
      </c>
      <c r="C1207" s="24" t="s">
        <v>168</v>
      </c>
      <c r="D1207" s="24" t="s">
        <v>314</v>
      </c>
      <c r="E1207" s="23">
        <v>1</v>
      </c>
      <c r="F1207" s="24" t="s">
        <v>211</v>
      </c>
      <c r="G1207" s="24" t="s">
        <v>225</v>
      </c>
      <c r="H1207" s="23" t="s">
        <v>226</v>
      </c>
      <c r="I1207" s="24" t="s">
        <v>225</v>
      </c>
      <c r="J1207" s="23" t="s">
        <v>226</v>
      </c>
      <c r="K1207" s="24" t="s">
        <v>225</v>
      </c>
      <c r="L1207" s="23"/>
      <c r="M1207" s="26" t="s">
        <v>616</v>
      </c>
      <c r="N1207" s="24">
        <v>2021</v>
      </c>
    </row>
    <row r="1208" spans="1:14">
      <c r="A1208" s="24">
        <v>2021</v>
      </c>
      <c r="B1208" s="24" t="s">
        <v>78</v>
      </c>
      <c r="C1208" s="24" t="s">
        <v>79</v>
      </c>
      <c r="D1208" s="24" t="s">
        <v>51</v>
      </c>
      <c r="E1208" s="23">
        <v>6</v>
      </c>
      <c r="F1208" s="24" t="s">
        <v>207</v>
      </c>
      <c r="G1208" s="24" t="s">
        <v>225</v>
      </c>
      <c r="H1208" s="23" t="s">
        <v>226</v>
      </c>
      <c r="I1208" s="24" t="s">
        <v>226</v>
      </c>
      <c r="J1208" s="23" t="s">
        <v>226</v>
      </c>
      <c r="K1208" s="24" t="s">
        <v>225</v>
      </c>
      <c r="L1208" s="23"/>
      <c r="M1208" s="26" t="s">
        <v>616</v>
      </c>
      <c r="N1208" s="24">
        <v>2021</v>
      </c>
    </row>
    <row r="1209" spans="1:14">
      <c r="A1209" s="24">
        <v>2021</v>
      </c>
      <c r="B1209" s="24" t="s">
        <v>136</v>
      </c>
      <c r="C1209" s="24" t="s">
        <v>160</v>
      </c>
      <c r="D1209" s="24" t="s">
        <v>206</v>
      </c>
      <c r="E1209" s="23">
        <v>1</v>
      </c>
      <c r="F1209" s="24" t="s">
        <v>207</v>
      </c>
      <c r="G1209" s="24" t="s">
        <v>225</v>
      </c>
      <c r="H1209" s="23" t="s">
        <v>226</v>
      </c>
      <c r="I1209" s="24" t="s">
        <v>226</v>
      </c>
      <c r="J1209" s="23" t="s">
        <v>226</v>
      </c>
      <c r="K1209" s="24" t="s">
        <v>225</v>
      </c>
      <c r="L1209" s="23"/>
      <c r="M1209" s="26" t="s">
        <v>617</v>
      </c>
      <c r="N1209" s="24">
        <v>2021</v>
      </c>
    </row>
    <row r="1210" spans="1:14">
      <c r="A1210" s="24">
        <v>2021</v>
      </c>
      <c r="B1210" s="24" t="s">
        <v>136</v>
      </c>
      <c r="C1210" s="24" t="s">
        <v>189</v>
      </c>
      <c r="D1210" s="24" t="s">
        <v>258</v>
      </c>
      <c r="E1210" s="23">
        <v>1</v>
      </c>
      <c r="F1210" s="24" t="s">
        <v>211</v>
      </c>
      <c r="G1210" s="24" t="s">
        <v>225</v>
      </c>
      <c r="H1210" s="23" t="s">
        <v>226</v>
      </c>
      <c r="I1210" s="24" t="s">
        <v>225</v>
      </c>
      <c r="J1210" s="23" t="s">
        <v>226</v>
      </c>
      <c r="K1210" s="24" t="s">
        <v>225</v>
      </c>
      <c r="L1210" s="23"/>
      <c r="M1210" s="26" t="s">
        <v>618</v>
      </c>
      <c r="N1210" s="24">
        <v>2021</v>
      </c>
    </row>
    <row r="1211" spans="1:14">
      <c r="A1211" s="24">
        <v>2021</v>
      </c>
      <c r="B1211" s="24" t="s">
        <v>136</v>
      </c>
      <c r="C1211" s="24" t="s">
        <v>189</v>
      </c>
      <c r="D1211" s="24" t="s">
        <v>563</v>
      </c>
      <c r="E1211" s="23">
        <v>1</v>
      </c>
      <c r="F1211" s="24" t="s">
        <v>211</v>
      </c>
      <c r="G1211" s="24" t="s">
        <v>225</v>
      </c>
      <c r="H1211" s="23" t="s">
        <v>226</v>
      </c>
      <c r="I1211" s="24" t="s">
        <v>226</v>
      </c>
      <c r="J1211" s="23" t="s">
        <v>226</v>
      </c>
      <c r="K1211" s="24" t="s">
        <v>225</v>
      </c>
      <c r="L1211" s="23"/>
      <c r="M1211" s="26" t="s">
        <v>619</v>
      </c>
      <c r="N1211" s="24">
        <v>2021</v>
      </c>
    </row>
    <row r="1212" spans="1:14">
      <c r="A1212" s="24">
        <v>2021</v>
      </c>
      <c r="B1212" s="24" t="s">
        <v>4</v>
      </c>
      <c r="C1212" s="24" t="s">
        <v>23</v>
      </c>
      <c r="D1212" s="24" t="s">
        <v>29</v>
      </c>
      <c r="E1212" s="23">
        <v>18</v>
      </c>
      <c r="F1212" s="24" t="s">
        <v>211</v>
      </c>
      <c r="G1212" s="24" t="s">
        <v>225</v>
      </c>
      <c r="H1212" s="23" t="s">
        <v>226</v>
      </c>
      <c r="I1212" s="24" t="s">
        <v>225</v>
      </c>
      <c r="J1212" s="23" t="s">
        <v>226</v>
      </c>
      <c r="K1212" s="24" t="s">
        <v>225</v>
      </c>
      <c r="L1212" s="23"/>
      <c r="M1212" s="26" t="s">
        <v>619</v>
      </c>
      <c r="N1212" s="24">
        <v>2021</v>
      </c>
    </row>
    <row r="1213" spans="1:14">
      <c r="A1213" s="24">
        <v>2021</v>
      </c>
      <c r="B1213" s="24" t="s">
        <v>4</v>
      </c>
      <c r="C1213" s="24" t="s">
        <v>5</v>
      </c>
      <c r="D1213" s="24" t="s">
        <v>7</v>
      </c>
      <c r="E1213" s="23"/>
      <c r="F1213" s="24" t="s">
        <v>207</v>
      </c>
      <c r="G1213" s="24" t="s">
        <v>225</v>
      </c>
      <c r="H1213" s="23" t="s">
        <v>225</v>
      </c>
      <c r="I1213" s="24" t="s">
        <v>225</v>
      </c>
      <c r="J1213" s="23" t="s">
        <v>226</v>
      </c>
      <c r="K1213" s="24" t="s">
        <v>225</v>
      </c>
      <c r="L1213" s="23"/>
      <c r="M1213" s="26" t="s">
        <v>620</v>
      </c>
      <c r="N1213" s="24">
        <v>2021</v>
      </c>
    </row>
    <row r="1214" spans="1:14">
      <c r="A1214" s="24">
        <v>2021</v>
      </c>
      <c r="B1214" s="24" t="s">
        <v>136</v>
      </c>
      <c r="C1214" s="24" t="s">
        <v>176</v>
      </c>
      <c r="D1214" s="24" t="s">
        <v>179</v>
      </c>
      <c r="E1214" s="23">
        <v>1</v>
      </c>
      <c r="F1214" s="24" t="s">
        <v>207</v>
      </c>
      <c r="G1214" s="24" t="s">
        <v>225</v>
      </c>
      <c r="H1214" s="23" t="s">
        <v>226</v>
      </c>
      <c r="I1214" s="24" t="s">
        <v>226</v>
      </c>
      <c r="J1214" s="23" t="s">
        <v>226</v>
      </c>
      <c r="K1214" s="24" t="s">
        <v>225</v>
      </c>
      <c r="L1214" s="23"/>
      <c r="M1214" s="26" t="s">
        <v>620</v>
      </c>
      <c r="N1214" s="24">
        <v>2021</v>
      </c>
    </row>
    <row r="1215" spans="1:14">
      <c r="A1215" s="24">
        <v>2021</v>
      </c>
      <c r="B1215" s="24" t="s">
        <v>4</v>
      </c>
      <c r="C1215" s="24" t="s">
        <v>14</v>
      </c>
      <c r="D1215" s="24" t="s">
        <v>16</v>
      </c>
      <c r="E1215" s="23">
        <v>1</v>
      </c>
      <c r="F1215" s="24" t="s">
        <v>211</v>
      </c>
      <c r="G1215" s="24" t="s">
        <v>225</v>
      </c>
      <c r="H1215" s="23" t="s">
        <v>226</v>
      </c>
      <c r="I1215" s="24" t="s">
        <v>225</v>
      </c>
      <c r="J1215" s="23" t="s">
        <v>226</v>
      </c>
      <c r="K1215" s="24" t="s">
        <v>225</v>
      </c>
      <c r="L1215" s="23"/>
      <c r="M1215" s="26" t="s">
        <v>620</v>
      </c>
      <c r="N1215" s="24">
        <v>2021</v>
      </c>
    </row>
    <row r="1216" spans="1:14">
      <c r="A1216" s="24">
        <v>2021</v>
      </c>
      <c r="B1216" s="24" t="s">
        <v>136</v>
      </c>
      <c r="C1216" s="24" t="s">
        <v>189</v>
      </c>
      <c r="D1216" s="24" t="s">
        <v>193</v>
      </c>
      <c r="E1216" s="23"/>
      <c r="F1216" s="24" t="s">
        <v>207</v>
      </c>
      <c r="G1216" s="24" t="s">
        <v>225</v>
      </c>
      <c r="H1216" s="23" t="s">
        <v>225</v>
      </c>
      <c r="I1216" s="24" t="s">
        <v>226</v>
      </c>
      <c r="J1216" s="23" t="s">
        <v>226</v>
      </c>
      <c r="K1216" s="24" t="s">
        <v>225</v>
      </c>
      <c r="L1216" s="23"/>
      <c r="M1216" s="26" t="s">
        <v>620</v>
      </c>
      <c r="N1216" s="24">
        <v>2021</v>
      </c>
    </row>
    <row r="1217" spans="1:14">
      <c r="A1217" s="24">
        <v>2021</v>
      </c>
      <c r="B1217" s="24" t="s">
        <v>136</v>
      </c>
      <c r="C1217" s="24" t="s">
        <v>176</v>
      </c>
      <c r="D1217" s="24" t="s">
        <v>177</v>
      </c>
      <c r="E1217" s="23"/>
      <c r="F1217" s="24" t="s">
        <v>211</v>
      </c>
      <c r="G1217" s="24" t="s">
        <v>225</v>
      </c>
      <c r="H1217" s="23" t="s">
        <v>225</v>
      </c>
      <c r="I1217" s="24" t="s">
        <v>225</v>
      </c>
      <c r="J1217" s="23" t="s">
        <v>226</v>
      </c>
      <c r="K1217" s="24" t="s">
        <v>225</v>
      </c>
      <c r="L1217" s="23"/>
      <c r="M1217" s="26" t="s">
        <v>620</v>
      </c>
      <c r="N1217" s="24">
        <v>2021</v>
      </c>
    </row>
    <row r="1218" spans="1:14">
      <c r="A1218" s="24">
        <v>2021</v>
      </c>
      <c r="B1218" s="24" t="s">
        <v>78</v>
      </c>
      <c r="C1218" s="24" t="s">
        <v>681</v>
      </c>
      <c r="D1218" s="24" t="s">
        <v>248</v>
      </c>
      <c r="E1218" s="23">
        <v>8</v>
      </c>
      <c r="F1218" s="24" t="s">
        <v>207</v>
      </c>
      <c r="G1218" s="24" t="s">
        <v>225</v>
      </c>
      <c r="H1218" s="23" t="s">
        <v>226</v>
      </c>
      <c r="I1218" s="24" t="s">
        <v>225</v>
      </c>
      <c r="J1218" s="23" t="s">
        <v>226</v>
      </c>
      <c r="K1218" s="24" t="s">
        <v>225</v>
      </c>
      <c r="L1218" s="23"/>
      <c r="M1218" s="26" t="s">
        <v>620</v>
      </c>
      <c r="N1218" s="24">
        <v>2021</v>
      </c>
    </row>
    <row r="1219" spans="1:14">
      <c r="A1219" s="24">
        <v>2021</v>
      </c>
      <c r="B1219" s="24" t="s">
        <v>136</v>
      </c>
      <c r="C1219" s="24" t="s">
        <v>160</v>
      </c>
      <c r="D1219" s="24" t="s">
        <v>161</v>
      </c>
      <c r="E1219" s="23">
        <v>2</v>
      </c>
      <c r="F1219" s="24" t="s">
        <v>207</v>
      </c>
      <c r="G1219" s="24" t="s">
        <v>225</v>
      </c>
      <c r="H1219" s="23" t="s">
        <v>226</v>
      </c>
      <c r="I1219" s="24" t="s">
        <v>226</v>
      </c>
      <c r="J1219" s="23" t="s">
        <v>226</v>
      </c>
      <c r="K1219" s="24" t="s">
        <v>225</v>
      </c>
      <c r="L1219" s="23"/>
      <c r="M1219" s="26" t="s">
        <v>620</v>
      </c>
      <c r="N1219" s="24">
        <v>2021</v>
      </c>
    </row>
    <row r="1220" spans="1:14">
      <c r="A1220" s="24">
        <v>2021</v>
      </c>
      <c r="B1220" s="24" t="s">
        <v>136</v>
      </c>
      <c r="C1220" s="24" t="s">
        <v>137</v>
      </c>
      <c r="D1220" s="24" t="s">
        <v>141</v>
      </c>
      <c r="E1220" s="23"/>
      <c r="F1220" s="24" t="s">
        <v>207</v>
      </c>
      <c r="G1220" s="24" t="s">
        <v>225</v>
      </c>
      <c r="H1220" s="23" t="s">
        <v>225</v>
      </c>
      <c r="I1220" s="24" t="s">
        <v>225</v>
      </c>
      <c r="J1220" s="23" t="s">
        <v>226</v>
      </c>
      <c r="K1220" s="24" t="s">
        <v>225</v>
      </c>
      <c r="L1220" s="23"/>
      <c r="M1220" s="26" t="s">
        <v>620</v>
      </c>
      <c r="N1220" s="24">
        <v>2021</v>
      </c>
    </row>
    <row r="1221" spans="1:14">
      <c r="A1221" s="24">
        <v>2021</v>
      </c>
      <c r="B1221" s="24" t="s">
        <v>78</v>
      </c>
      <c r="C1221" s="24" t="s">
        <v>80</v>
      </c>
      <c r="D1221" s="24" t="s">
        <v>86</v>
      </c>
      <c r="E1221" s="23">
        <v>5</v>
      </c>
      <c r="F1221" s="24" t="s">
        <v>207</v>
      </c>
      <c r="G1221" s="23" t="s">
        <v>226</v>
      </c>
      <c r="H1221" s="23" t="s">
        <v>226</v>
      </c>
      <c r="I1221" s="24" t="s">
        <v>225</v>
      </c>
      <c r="J1221" s="23" t="s">
        <v>226</v>
      </c>
      <c r="K1221" s="24" t="s">
        <v>225</v>
      </c>
      <c r="L1221" s="23"/>
      <c r="M1221" s="26" t="s">
        <v>621</v>
      </c>
      <c r="N1221" s="24">
        <v>2021</v>
      </c>
    </row>
    <row r="1222" spans="1:14">
      <c r="A1222" s="24">
        <v>2021</v>
      </c>
      <c r="B1222" s="24" t="s">
        <v>136</v>
      </c>
      <c r="C1222" s="24" t="s">
        <v>137</v>
      </c>
      <c r="D1222" s="24" t="s">
        <v>141</v>
      </c>
      <c r="E1222" s="23">
        <v>1</v>
      </c>
      <c r="F1222" s="24" t="s">
        <v>211</v>
      </c>
      <c r="G1222" s="24" t="s">
        <v>225</v>
      </c>
      <c r="H1222" s="23" t="s">
        <v>226</v>
      </c>
      <c r="I1222" s="24" t="s">
        <v>225</v>
      </c>
      <c r="J1222" s="23" t="s">
        <v>226</v>
      </c>
      <c r="K1222" s="24" t="s">
        <v>225</v>
      </c>
      <c r="L1222" s="23"/>
      <c r="M1222" s="26" t="s">
        <v>621</v>
      </c>
      <c r="N1222" s="24">
        <v>2021</v>
      </c>
    </row>
    <row r="1223" spans="1:14">
      <c r="A1223" s="24">
        <v>2021</v>
      </c>
      <c r="B1223" s="24" t="s">
        <v>78</v>
      </c>
      <c r="C1223" s="24" t="s">
        <v>122</v>
      </c>
      <c r="D1223" s="24" t="s">
        <v>124</v>
      </c>
      <c r="E1223" s="23">
        <v>11</v>
      </c>
      <c r="F1223" s="24" t="s">
        <v>211</v>
      </c>
      <c r="G1223" s="24" t="s">
        <v>225</v>
      </c>
      <c r="H1223" s="23" t="s">
        <v>226</v>
      </c>
      <c r="I1223" s="24" t="s">
        <v>226</v>
      </c>
      <c r="J1223" s="23" t="s">
        <v>226</v>
      </c>
      <c r="K1223" s="24" t="s">
        <v>225</v>
      </c>
      <c r="L1223" s="23"/>
      <c r="M1223" s="26" t="s">
        <v>621</v>
      </c>
      <c r="N1223" s="24">
        <v>2021</v>
      </c>
    </row>
    <row r="1224" spans="1:14">
      <c r="A1224" s="24">
        <v>2021</v>
      </c>
      <c r="B1224" s="24" t="s">
        <v>78</v>
      </c>
      <c r="C1224" s="24" t="s">
        <v>79</v>
      </c>
      <c r="D1224" s="24" t="s">
        <v>292</v>
      </c>
      <c r="E1224" s="23">
        <v>11</v>
      </c>
      <c r="F1224" s="24" t="s">
        <v>207</v>
      </c>
      <c r="G1224" s="24" t="s">
        <v>225</v>
      </c>
      <c r="H1224" s="23" t="s">
        <v>226</v>
      </c>
      <c r="I1224" s="24" t="s">
        <v>225</v>
      </c>
      <c r="J1224" s="23" t="s">
        <v>226</v>
      </c>
      <c r="K1224" s="24" t="s">
        <v>225</v>
      </c>
      <c r="L1224" s="23"/>
      <c r="M1224" s="26" t="s">
        <v>622</v>
      </c>
      <c r="N1224" s="24">
        <v>2021</v>
      </c>
    </row>
    <row r="1225" spans="1:14">
      <c r="A1225" s="24">
        <v>2021</v>
      </c>
      <c r="B1225" s="24" t="s">
        <v>136</v>
      </c>
      <c r="C1225" s="24" t="s">
        <v>137</v>
      </c>
      <c r="D1225" s="24" t="s">
        <v>141</v>
      </c>
      <c r="E1225" s="23">
        <v>1</v>
      </c>
      <c r="F1225" s="24" t="s">
        <v>207</v>
      </c>
      <c r="G1225" s="24" t="s">
        <v>225</v>
      </c>
      <c r="H1225" s="23" t="s">
        <v>226</v>
      </c>
      <c r="I1225" s="24" t="s">
        <v>225</v>
      </c>
      <c r="J1225" s="23" t="s">
        <v>226</v>
      </c>
      <c r="K1225" s="24" t="s">
        <v>225</v>
      </c>
      <c r="L1225" s="23"/>
      <c r="M1225" s="26" t="s">
        <v>622</v>
      </c>
      <c r="N1225" s="24">
        <v>2021</v>
      </c>
    </row>
    <row r="1226" spans="1:14">
      <c r="A1226" s="24">
        <v>2021</v>
      </c>
      <c r="B1226" s="24" t="s">
        <v>4</v>
      </c>
      <c r="C1226" s="24" t="s">
        <v>203</v>
      </c>
      <c r="D1226" s="24" t="s">
        <v>42</v>
      </c>
      <c r="E1226" s="23">
        <v>2</v>
      </c>
      <c r="F1226" s="24" t="s">
        <v>211</v>
      </c>
      <c r="G1226" s="24" t="s">
        <v>225</v>
      </c>
      <c r="H1226" s="23" t="s">
        <v>226</v>
      </c>
      <c r="I1226" s="24" t="s">
        <v>226</v>
      </c>
      <c r="J1226" s="23" t="s">
        <v>226</v>
      </c>
      <c r="K1226" s="24" t="s">
        <v>225</v>
      </c>
      <c r="L1226" s="23"/>
      <c r="M1226" s="26" t="s">
        <v>623</v>
      </c>
      <c r="N1226" s="24">
        <v>2021</v>
      </c>
    </row>
    <row r="1227" spans="1:14">
      <c r="A1227" s="24">
        <v>2021</v>
      </c>
      <c r="B1227" s="24" t="s">
        <v>136</v>
      </c>
      <c r="C1227" s="24" t="s">
        <v>682</v>
      </c>
      <c r="D1227" s="24" t="s">
        <v>167</v>
      </c>
      <c r="E1227" s="28">
        <v>5</v>
      </c>
      <c r="F1227" s="24" t="s">
        <v>211</v>
      </c>
      <c r="G1227" s="24" t="s">
        <v>225</v>
      </c>
      <c r="H1227" s="23" t="s">
        <v>225</v>
      </c>
      <c r="I1227" s="24" t="s">
        <v>226</v>
      </c>
      <c r="J1227" s="23" t="s">
        <v>226</v>
      </c>
      <c r="K1227" s="24" t="s">
        <v>225</v>
      </c>
      <c r="L1227" s="23"/>
      <c r="M1227" s="26" t="s">
        <v>623</v>
      </c>
      <c r="N1227" s="24">
        <v>2021</v>
      </c>
    </row>
    <row r="1228" spans="1:14">
      <c r="A1228" s="24">
        <v>2021</v>
      </c>
      <c r="B1228" s="24" t="s">
        <v>136</v>
      </c>
      <c r="C1228" s="24" t="s">
        <v>137</v>
      </c>
      <c r="D1228" s="24" t="s">
        <v>138</v>
      </c>
      <c r="E1228" s="23">
        <v>6</v>
      </c>
      <c r="F1228" s="24" t="s">
        <v>211</v>
      </c>
      <c r="G1228" s="24" t="s">
        <v>225</v>
      </c>
      <c r="H1228" s="23" t="s">
        <v>226</v>
      </c>
      <c r="I1228" s="24" t="s">
        <v>225</v>
      </c>
      <c r="J1228" s="23" t="s">
        <v>226</v>
      </c>
      <c r="K1228" s="24" t="s">
        <v>225</v>
      </c>
      <c r="L1228" s="23"/>
      <c r="M1228" s="26" t="s">
        <v>623</v>
      </c>
      <c r="N1228" s="24">
        <v>2021</v>
      </c>
    </row>
    <row r="1229" spans="1:14">
      <c r="A1229" s="24">
        <v>2021</v>
      </c>
      <c r="B1229" s="24" t="s">
        <v>78</v>
      </c>
      <c r="C1229" s="24" t="s">
        <v>80</v>
      </c>
      <c r="D1229" s="24" t="s">
        <v>282</v>
      </c>
      <c r="E1229" s="23">
        <v>2</v>
      </c>
      <c r="F1229" s="24" t="s">
        <v>211</v>
      </c>
      <c r="G1229" s="24" t="s">
        <v>225</v>
      </c>
      <c r="H1229" s="23" t="s">
        <v>226</v>
      </c>
      <c r="I1229" s="24" t="s">
        <v>225</v>
      </c>
      <c r="J1229" s="23" t="s">
        <v>226</v>
      </c>
      <c r="K1229" s="24" t="s">
        <v>225</v>
      </c>
      <c r="L1229" s="23"/>
      <c r="M1229" s="26" t="s">
        <v>623</v>
      </c>
      <c r="N1229" s="24">
        <v>2021</v>
      </c>
    </row>
    <row r="1230" spans="1:14">
      <c r="A1230" s="24">
        <v>2021</v>
      </c>
      <c r="B1230" s="24" t="s">
        <v>136</v>
      </c>
      <c r="C1230" s="24" t="s">
        <v>137</v>
      </c>
      <c r="D1230" s="24" t="s">
        <v>140</v>
      </c>
      <c r="E1230" s="23">
        <v>1</v>
      </c>
      <c r="F1230" s="24" t="s">
        <v>211</v>
      </c>
      <c r="G1230" s="24" t="s">
        <v>225</v>
      </c>
      <c r="H1230" s="23" t="s">
        <v>226</v>
      </c>
      <c r="I1230" s="24" t="s">
        <v>225</v>
      </c>
      <c r="J1230" s="23" t="s">
        <v>226</v>
      </c>
      <c r="K1230" s="24" t="s">
        <v>225</v>
      </c>
      <c r="L1230" s="23"/>
      <c r="M1230" s="26" t="s">
        <v>623</v>
      </c>
      <c r="N1230" s="24">
        <v>2021</v>
      </c>
    </row>
    <row r="1231" spans="1:14">
      <c r="A1231" s="24">
        <v>2021</v>
      </c>
      <c r="B1231" s="24" t="s">
        <v>78</v>
      </c>
      <c r="C1231" s="24" t="s">
        <v>681</v>
      </c>
      <c r="D1231" s="24" t="s">
        <v>133</v>
      </c>
      <c r="E1231" s="23"/>
      <c r="F1231" s="24" t="s">
        <v>207</v>
      </c>
      <c r="G1231" s="24" t="s">
        <v>225</v>
      </c>
      <c r="H1231" s="23" t="s">
        <v>225</v>
      </c>
      <c r="I1231" s="24" t="s">
        <v>225</v>
      </c>
      <c r="J1231" s="23" t="s">
        <v>226</v>
      </c>
      <c r="K1231" s="24" t="s">
        <v>225</v>
      </c>
      <c r="L1231" s="23"/>
      <c r="M1231" s="26" t="s">
        <v>623</v>
      </c>
      <c r="N1231" s="24">
        <v>2021</v>
      </c>
    </row>
    <row r="1232" spans="1:14">
      <c r="A1232" s="24">
        <v>2021</v>
      </c>
      <c r="B1232" s="24" t="s">
        <v>4</v>
      </c>
      <c r="C1232" s="24" t="s">
        <v>23</v>
      </c>
      <c r="D1232" s="24" t="s">
        <v>26</v>
      </c>
      <c r="E1232" s="23">
        <v>3</v>
      </c>
      <c r="F1232" s="24" t="s">
        <v>211</v>
      </c>
      <c r="G1232" s="24" t="s">
        <v>225</v>
      </c>
      <c r="H1232" s="23" t="s">
        <v>226</v>
      </c>
      <c r="I1232" s="24" t="s">
        <v>225</v>
      </c>
      <c r="J1232" s="23" t="s">
        <v>226</v>
      </c>
      <c r="K1232" s="24" t="s">
        <v>225</v>
      </c>
      <c r="L1232" s="23"/>
      <c r="M1232" s="26" t="s">
        <v>623</v>
      </c>
      <c r="N1232" s="24">
        <v>2021</v>
      </c>
    </row>
    <row r="1233" spans="1:14">
      <c r="A1233" s="24">
        <v>2021</v>
      </c>
      <c r="B1233" s="24" t="s">
        <v>78</v>
      </c>
      <c r="C1233" s="24" t="s">
        <v>79</v>
      </c>
      <c r="D1233" s="24" t="s">
        <v>56</v>
      </c>
      <c r="E1233" s="23">
        <v>2</v>
      </c>
      <c r="F1233" s="24" t="s">
        <v>207</v>
      </c>
      <c r="G1233" s="24" t="s">
        <v>225</v>
      </c>
      <c r="H1233" s="23" t="s">
        <v>226</v>
      </c>
      <c r="I1233" s="24" t="s">
        <v>225</v>
      </c>
      <c r="J1233" s="23" t="s">
        <v>226</v>
      </c>
      <c r="K1233" s="24" t="s">
        <v>225</v>
      </c>
      <c r="L1233" s="23"/>
      <c r="M1233" s="26" t="s">
        <v>623</v>
      </c>
      <c r="N1233" s="24">
        <v>2021</v>
      </c>
    </row>
    <row r="1234" spans="1:14">
      <c r="A1234" s="24">
        <v>2021</v>
      </c>
      <c r="B1234" s="24" t="s">
        <v>4</v>
      </c>
      <c r="C1234" s="24" t="s">
        <v>203</v>
      </c>
      <c r="D1234" s="24" t="s">
        <v>42</v>
      </c>
      <c r="E1234" s="23">
        <v>3</v>
      </c>
      <c r="F1234" s="24" t="s">
        <v>211</v>
      </c>
      <c r="G1234" s="24" t="s">
        <v>225</v>
      </c>
      <c r="H1234" s="23" t="s">
        <v>226</v>
      </c>
      <c r="I1234" s="24" t="s">
        <v>226</v>
      </c>
      <c r="J1234" s="23" t="s">
        <v>226</v>
      </c>
      <c r="K1234" s="24" t="s">
        <v>225</v>
      </c>
      <c r="L1234" s="23"/>
      <c r="M1234" s="26" t="s">
        <v>623</v>
      </c>
      <c r="N1234" s="24">
        <v>2021</v>
      </c>
    </row>
    <row r="1235" spans="1:14">
      <c r="A1235" s="24">
        <v>2021</v>
      </c>
      <c r="B1235" s="24" t="s">
        <v>78</v>
      </c>
      <c r="C1235" s="24" t="s">
        <v>95</v>
      </c>
      <c r="D1235" s="24" t="s">
        <v>102</v>
      </c>
      <c r="E1235" s="23">
        <v>16</v>
      </c>
      <c r="F1235" s="24" t="s">
        <v>207</v>
      </c>
      <c r="G1235" s="24" t="s">
        <v>225</v>
      </c>
      <c r="H1235" s="23" t="s">
        <v>226</v>
      </c>
      <c r="I1235" s="24" t="s">
        <v>226</v>
      </c>
      <c r="J1235" s="23" t="s">
        <v>226</v>
      </c>
      <c r="K1235" s="24" t="s">
        <v>225</v>
      </c>
      <c r="L1235" s="23"/>
      <c r="M1235" s="26" t="s">
        <v>624</v>
      </c>
      <c r="N1235" s="24">
        <v>2021</v>
      </c>
    </row>
    <row r="1236" spans="1:14">
      <c r="A1236" s="24">
        <v>2021</v>
      </c>
      <c r="B1236" s="24" t="s">
        <v>136</v>
      </c>
      <c r="C1236" s="24" t="s">
        <v>176</v>
      </c>
      <c r="D1236" s="24" t="s">
        <v>179</v>
      </c>
      <c r="E1236" s="23"/>
      <c r="F1236" s="24" t="s">
        <v>207</v>
      </c>
      <c r="G1236" s="24" t="s">
        <v>225</v>
      </c>
      <c r="H1236" s="23" t="s">
        <v>225</v>
      </c>
      <c r="I1236" s="24" t="s">
        <v>225</v>
      </c>
      <c r="J1236" s="23" t="s">
        <v>226</v>
      </c>
      <c r="K1236" s="24" t="s">
        <v>225</v>
      </c>
      <c r="L1236" s="23"/>
      <c r="M1236" s="26" t="s">
        <v>625</v>
      </c>
      <c r="N1236" s="24">
        <v>2021</v>
      </c>
    </row>
    <row r="1237" spans="1:14">
      <c r="A1237" s="24">
        <v>2021</v>
      </c>
      <c r="B1237" s="24" t="s">
        <v>4</v>
      </c>
      <c r="C1237" s="24" t="s">
        <v>23</v>
      </c>
      <c r="D1237" s="24" t="s">
        <v>26</v>
      </c>
      <c r="E1237" s="23">
        <v>10</v>
      </c>
      <c r="F1237" s="24" t="s">
        <v>211</v>
      </c>
      <c r="G1237" s="23" t="s">
        <v>226</v>
      </c>
      <c r="H1237" s="23" t="s">
        <v>226</v>
      </c>
      <c r="I1237" s="24" t="s">
        <v>225</v>
      </c>
      <c r="J1237" s="23" t="s">
        <v>226</v>
      </c>
      <c r="K1237" s="24" t="s">
        <v>225</v>
      </c>
      <c r="L1237" s="23"/>
      <c r="M1237" s="26" t="s">
        <v>625</v>
      </c>
      <c r="N1237" s="24">
        <v>2021</v>
      </c>
    </row>
    <row r="1238" spans="1:14">
      <c r="A1238" s="24">
        <v>2021</v>
      </c>
      <c r="B1238" s="24" t="s">
        <v>4</v>
      </c>
      <c r="C1238" s="24" t="s">
        <v>203</v>
      </c>
      <c r="D1238" s="24" t="s">
        <v>330</v>
      </c>
      <c r="E1238" s="23">
        <v>4</v>
      </c>
      <c r="F1238" s="24" t="s">
        <v>207</v>
      </c>
      <c r="G1238" s="24" t="s">
        <v>225</v>
      </c>
      <c r="H1238" s="23" t="s">
        <v>226</v>
      </c>
      <c r="I1238" s="24" t="s">
        <v>226</v>
      </c>
      <c r="J1238" s="23" t="s">
        <v>226</v>
      </c>
      <c r="K1238" s="24" t="s">
        <v>225</v>
      </c>
      <c r="L1238" s="23"/>
      <c r="M1238" s="25">
        <v>44541</v>
      </c>
      <c r="N1238" s="24">
        <v>2021</v>
      </c>
    </row>
    <row r="1239" spans="1:14">
      <c r="A1239" s="24">
        <v>2021</v>
      </c>
      <c r="B1239" s="24" t="s">
        <v>136</v>
      </c>
      <c r="C1239" s="24" t="s">
        <v>168</v>
      </c>
      <c r="D1239" s="24" t="s">
        <v>169</v>
      </c>
      <c r="E1239" s="23">
        <v>1</v>
      </c>
      <c r="F1239" s="24" t="s">
        <v>207</v>
      </c>
      <c r="G1239" s="24" t="s">
        <v>225</v>
      </c>
      <c r="H1239" s="23" t="s">
        <v>226</v>
      </c>
      <c r="I1239" s="24" t="s">
        <v>225</v>
      </c>
      <c r="J1239" s="23" t="s">
        <v>226</v>
      </c>
      <c r="K1239" s="24" t="s">
        <v>225</v>
      </c>
      <c r="L1239" s="23"/>
      <c r="M1239" s="25">
        <v>44541</v>
      </c>
      <c r="N1239" s="24">
        <v>2021</v>
      </c>
    </row>
    <row r="1240" spans="1:14">
      <c r="A1240" s="24">
        <v>2021</v>
      </c>
      <c r="B1240" s="24" t="s">
        <v>4</v>
      </c>
      <c r="C1240" s="24" t="s">
        <v>31</v>
      </c>
      <c r="D1240" s="24" t="s">
        <v>32</v>
      </c>
      <c r="E1240" s="23">
        <v>4</v>
      </c>
      <c r="F1240" s="24" t="s">
        <v>211</v>
      </c>
      <c r="G1240" s="24" t="s">
        <v>225</v>
      </c>
      <c r="H1240" s="23" t="s">
        <v>226</v>
      </c>
      <c r="I1240" s="24" t="s">
        <v>225</v>
      </c>
      <c r="J1240" s="23" t="s">
        <v>226</v>
      </c>
      <c r="K1240" s="24" t="s">
        <v>225</v>
      </c>
      <c r="L1240" s="23"/>
      <c r="M1240" s="26" t="s">
        <v>626</v>
      </c>
      <c r="N1240" s="24">
        <v>2021</v>
      </c>
    </row>
    <row r="1241" spans="1:14">
      <c r="A1241" s="24">
        <v>2021</v>
      </c>
      <c r="B1241" s="24" t="s">
        <v>136</v>
      </c>
      <c r="C1241" s="24" t="s">
        <v>168</v>
      </c>
      <c r="D1241" s="24" t="s">
        <v>170</v>
      </c>
      <c r="E1241" s="23">
        <v>2</v>
      </c>
      <c r="F1241" s="24" t="s">
        <v>211</v>
      </c>
      <c r="G1241" s="24" t="s">
        <v>225</v>
      </c>
      <c r="H1241" s="23" t="s">
        <v>226</v>
      </c>
      <c r="I1241" s="24" t="s">
        <v>226</v>
      </c>
      <c r="J1241" s="23" t="s">
        <v>226</v>
      </c>
      <c r="K1241" s="24" t="s">
        <v>225</v>
      </c>
      <c r="L1241" s="23"/>
      <c r="M1241" s="26" t="s">
        <v>626</v>
      </c>
      <c r="N1241" s="24">
        <v>2021</v>
      </c>
    </row>
    <row r="1242" spans="1:14">
      <c r="A1242" s="24">
        <v>2021</v>
      </c>
      <c r="B1242" s="24" t="s">
        <v>78</v>
      </c>
      <c r="C1242" s="24" t="s">
        <v>79</v>
      </c>
      <c r="D1242" s="24" t="s">
        <v>50</v>
      </c>
      <c r="E1242" s="23">
        <v>2</v>
      </c>
      <c r="F1242" s="24" t="s">
        <v>211</v>
      </c>
      <c r="G1242" s="24" t="s">
        <v>225</v>
      </c>
      <c r="H1242" s="23" t="s">
        <v>226</v>
      </c>
      <c r="I1242" s="24" t="s">
        <v>226</v>
      </c>
      <c r="J1242" s="23" t="s">
        <v>226</v>
      </c>
      <c r="K1242" s="24" t="s">
        <v>225</v>
      </c>
      <c r="L1242" s="23"/>
      <c r="M1242" s="26" t="s">
        <v>627</v>
      </c>
      <c r="N1242" s="24">
        <v>2021</v>
      </c>
    </row>
    <row r="1243" spans="1:14">
      <c r="A1243" s="24">
        <v>2021</v>
      </c>
      <c r="B1243" s="24" t="s">
        <v>78</v>
      </c>
      <c r="C1243" s="24" t="s">
        <v>103</v>
      </c>
      <c r="D1243" s="24" t="s">
        <v>319</v>
      </c>
      <c r="E1243" s="23">
        <v>12</v>
      </c>
      <c r="F1243" s="24" t="s">
        <v>207</v>
      </c>
      <c r="G1243" s="23" t="s">
        <v>226</v>
      </c>
      <c r="H1243" s="23" t="s">
        <v>226</v>
      </c>
      <c r="I1243" s="24" t="s">
        <v>225</v>
      </c>
      <c r="J1243" s="23" t="s">
        <v>226</v>
      </c>
      <c r="K1243" s="24" t="s">
        <v>225</v>
      </c>
      <c r="L1243" s="23"/>
      <c r="M1243" s="26" t="s">
        <v>627</v>
      </c>
      <c r="N1243" s="24">
        <v>2021</v>
      </c>
    </row>
    <row r="1244" spans="1:14">
      <c r="A1244" s="24">
        <v>2021</v>
      </c>
      <c r="B1244" s="24" t="s">
        <v>136</v>
      </c>
      <c r="C1244" s="24" t="s">
        <v>168</v>
      </c>
      <c r="D1244" s="24" t="s">
        <v>170</v>
      </c>
      <c r="E1244" s="23">
        <v>2</v>
      </c>
      <c r="F1244" s="24" t="s">
        <v>211</v>
      </c>
      <c r="G1244" s="24" t="s">
        <v>225</v>
      </c>
      <c r="H1244" s="23" t="s">
        <v>226</v>
      </c>
      <c r="I1244" s="24" t="s">
        <v>225</v>
      </c>
      <c r="J1244" s="23" t="s">
        <v>226</v>
      </c>
      <c r="K1244" s="24" t="s">
        <v>225</v>
      </c>
      <c r="L1244" s="23"/>
      <c r="M1244" s="26" t="s">
        <v>627</v>
      </c>
      <c r="N1244" s="24">
        <v>2021</v>
      </c>
    </row>
    <row r="1245" spans="1:14">
      <c r="A1245" s="24">
        <v>2021</v>
      </c>
      <c r="B1245" s="24" t="s">
        <v>4</v>
      </c>
      <c r="C1245" s="24" t="s">
        <v>23</v>
      </c>
      <c r="D1245" s="24" t="s">
        <v>30</v>
      </c>
      <c r="E1245" s="23">
        <v>1</v>
      </c>
      <c r="F1245" s="24" t="s">
        <v>211</v>
      </c>
      <c r="G1245" s="24" t="s">
        <v>225</v>
      </c>
      <c r="H1245" s="23" t="s">
        <v>226</v>
      </c>
      <c r="I1245" s="24" t="s">
        <v>226</v>
      </c>
      <c r="J1245" s="23" t="s">
        <v>226</v>
      </c>
      <c r="K1245" s="24" t="s">
        <v>225</v>
      </c>
      <c r="L1245" s="23"/>
      <c r="M1245" s="26" t="s">
        <v>628</v>
      </c>
      <c r="N1245" s="24">
        <v>2021</v>
      </c>
    </row>
    <row r="1246" spans="1:14">
      <c r="A1246" s="24">
        <v>2021</v>
      </c>
      <c r="B1246" s="24" t="s">
        <v>78</v>
      </c>
      <c r="C1246" s="24" t="s">
        <v>122</v>
      </c>
      <c r="D1246" s="24" t="s">
        <v>123</v>
      </c>
      <c r="E1246" s="23">
        <v>2</v>
      </c>
      <c r="F1246" s="24" t="s">
        <v>207</v>
      </c>
      <c r="G1246" s="24" t="s">
        <v>225</v>
      </c>
      <c r="H1246" s="23" t="s">
        <v>226</v>
      </c>
      <c r="I1246" s="24" t="s">
        <v>225</v>
      </c>
      <c r="J1246" s="23" t="s">
        <v>226</v>
      </c>
      <c r="K1246" s="24" t="s">
        <v>225</v>
      </c>
      <c r="L1246" s="23"/>
      <c r="M1246" s="26" t="s">
        <v>628</v>
      </c>
      <c r="N1246" s="24">
        <v>2021</v>
      </c>
    </row>
    <row r="1247" spans="1:14">
      <c r="A1247" s="24">
        <v>2021</v>
      </c>
      <c r="B1247" s="24" t="s">
        <v>136</v>
      </c>
      <c r="C1247" s="24" t="s">
        <v>146</v>
      </c>
      <c r="D1247" s="24" t="s">
        <v>435</v>
      </c>
      <c r="E1247" s="23">
        <v>1</v>
      </c>
      <c r="F1247" s="24" t="s">
        <v>207</v>
      </c>
      <c r="G1247" s="24" t="s">
        <v>225</v>
      </c>
      <c r="H1247" s="23" t="s">
        <v>226</v>
      </c>
      <c r="I1247" s="24" t="s">
        <v>226</v>
      </c>
      <c r="J1247" s="23" t="s">
        <v>226</v>
      </c>
      <c r="K1247" s="24" t="s">
        <v>225</v>
      </c>
      <c r="L1247" s="23"/>
      <c r="M1247" s="26" t="s">
        <v>628</v>
      </c>
      <c r="N1247" s="24">
        <v>2021</v>
      </c>
    </row>
    <row r="1248" spans="1:14">
      <c r="A1248" s="24">
        <v>2021</v>
      </c>
      <c r="B1248" s="24" t="s">
        <v>78</v>
      </c>
      <c r="C1248" s="24" t="s">
        <v>79</v>
      </c>
      <c r="D1248" s="24" t="s">
        <v>52</v>
      </c>
      <c r="E1248" s="23">
        <v>1</v>
      </c>
      <c r="F1248" s="24" t="s">
        <v>207</v>
      </c>
      <c r="G1248" s="24" t="s">
        <v>225</v>
      </c>
      <c r="H1248" s="23" t="s">
        <v>226</v>
      </c>
      <c r="I1248" s="24" t="s">
        <v>226</v>
      </c>
      <c r="J1248" s="23" t="s">
        <v>226</v>
      </c>
      <c r="K1248" s="24" t="s">
        <v>225</v>
      </c>
      <c r="L1248" s="23"/>
      <c r="M1248" s="26" t="s">
        <v>629</v>
      </c>
      <c r="N1248" s="24">
        <v>2021</v>
      </c>
    </row>
    <row r="1249" spans="1:14">
      <c r="A1249" s="24">
        <v>2021</v>
      </c>
      <c r="B1249" s="24" t="s">
        <v>4</v>
      </c>
      <c r="C1249" s="24" t="s">
        <v>5</v>
      </c>
      <c r="D1249" s="24" t="s">
        <v>10</v>
      </c>
      <c r="E1249" s="23">
        <v>12</v>
      </c>
      <c r="F1249" s="24" t="s">
        <v>207</v>
      </c>
      <c r="G1249" s="24" t="s">
        <v>225</v>
      </c>
      <c r="H1249" s="23" t="s">
        <v>226</v>
      </c>
      <c r="I1249" s="24" t="s">
        <v>226</v>
      </c>
      <c r="J1249" s="23" t="s">
        <v>226</v>
      </c>
      <c r="K1249" s="24" t="s">
        <v>225</v>
      </c>
      <c r="L1249" s="23"/>
      <c r="M1249" s="26" t="s">
        <v>629</v>
      </c>
      <c r="N1249" s="24">
        <v>2021</v>
      </c>
    </row>
    <row r="1250" spans="1:14">
      <c r="A1250" s="24">
        <v>2021</v>
      </c>
      <c r="B1250" s="24" t="s">
        <v>136</v>
      </c>
      <c r="C1250" s="24" t="s">
        <v>168</v>
      </c>
      <c r="D1250" s="24" t="s">
        <v>170</v>
      </c>
      <c r="E1250" s="23">
        <v>1</v>
      </c>
      <c r="F1250" s="24" t="s">
        <v>211</v>
      </c>
      <c r="G1250" s="24" t="s">
        <v>225</v>
      </c>
      <c r="H1250" s="23" t="s">
        <v>226</v>
      </c>
      <c r="I1250" s="24" t="s">
        <v>226</v>
      </c>
      <c r="J1250" s="23" t="s">
        <v>226</v>
      </c>
      <c r="K1250" s="24" t="s">
        <v>225</v>
      </c>
      <c r="L1250" s="23"/>
      <c r="M1250" s="26" t="s">
        <v>629</v>
      </c>
      <c r="N1250" s="24">
        <v>2021</v>
      </c>
    </row>
    <row r="1251" spans="1:14">
      <c r="A1251" s="24">
        <v>2021</v>
      </c>
      <c r="B1251" s="24" t="s">
        <v>136</v>
      </c>
      <c r="C1251" s="24" t="s">
        <v>137</v>
      </c>
      <c r="D1251" s="24" t="s">
        <v>142</v>
      </c>
      <c r="E1251" s="23"/>
      <c r="F1251" s="24" t="s">
        <v>211</v>
      </c>
      <c r="G1251" s="24" t="s">
        <v>225</v>
      </c>
      <c r="H1251" s="23" t="s">
        <v>225</v>
      </c>
      <c r="I1251" s="24" t="s">
        <v>225</v>
      </c>
      <c r="J1251" s="23" t="s">
        <v>226</v>
      </c>
      <c r="K1251" s="24" t="s">
        <v>225</v>
      </c>
      <c r="L1251" s="23"/>
      <c r="M1251" s="26" t="s">
        <v>630</v>
      </c>
      <c r="N1251" s="24">
        <v>2021</v>
      </c>
    </row>
    <row r="1252" spans="1:14">
      <c r="A1252" s="24">
        <v>2021</v>
      </c>
      <c r="B1252" s="24" t="s">
        <v>136</v>
      </c>
      <c r="C1252" s="24" t="s">
        <v>137</v>
      </c>
      <c r="D1252" s="24" t="s">
        <v>138</v>
      </c>
      <c r="E1252" s="23">
        <v>19</v>
      </c>
      <c r="F1252" s="24" t="s">
        <v>211</v>
      </c>
      <c r="G1252" s="24" t="s">
        <v>225</v>
      </c>
      <c r="H1252" s="23" t="s">
        <v>226</v>
      </c>
      <c r="I1252" s="24" t="s">
        <v>226</v>
      </c>
      <c r="J1252" s="23" t="s">
        <v>226</v>
      </c>
      <c r="K1252" s="24" t="s">
        <v>225</v>
      </c>
      <c r="L1252" s="23"/>
      <c r="M1252" s="26" t="s">
        <v>630</v>
      </c>
      <c r="N1252" s="24">
        <v>2021</v>
      </c>
    </row>
    <row r="1253" spans="1:14">
      <c r="A1253" s="24">
        <v>2021</v>
      </c>
      <c r="B1253" s="24" t="s">
        <v>4</v>
      </c>
      <c r="C1253" s="24" t="s">
        <v>5</v>
      </c>
      <c r="D1253" s="24" t="s">
        <v>6</v>
      </c>
      <c r="E1253" s="23">
        <v>2</v>
      </c>
      <c r="F1253" s="24" t="s">
        <v>211</v>
      </c>
      <c r="G1253" s="24" t="s">
        <v>225</v>
      </c>
      <c r="H1253" s="23" t="s">
        <v>226</v>
      </c>
      <c r="I1253" s="24" t="s">
        <v>225</v>
      </c>
      <c r="J1253" s="23" t="s">
        <v>226</v>
      </c>
      <c r="K1253" s="24" t="s">
        <v>225</v>
      </c>
      <c r="L1253" s="23"/>
      <c r="M1253" s="26" t="s">
        <v>630</v>
      </c>
      <c r="N1253" s="24">
        <v>2021</v>
      </c>
    </row>
    <row r="1254" spans="1:14">
      <c r="A1254" s="24">
        <v>2021</v>
      </c>
      <c r="B1254" s="24" t="s">
        <v>4</v>
      </c>
      <c r="C1254" s="24" t="s">
        <v>18</v>
      </c>
      <c r="D1254" s="24" t="s">
        <v>22</v>
      </c>
      <c r="E1254" s="23">
        <v>7</v>
      </c>
      <c r="F1254" s="24" t="s">
        <v>211</v>
      </c>
      <c r="G1254" s="24" t="s">
        <v>225</v>
      </c>
      <c r="H1254" s="23" t="s">
        <v>226</v>
      </c>
      <c r="I1254" s="24" t="s">
        <v>225</v>
      </c>
      <c r="J1254" s="23" t="s">
        <v>226</v>
      </c>
      <c r="K1254" s="24" t="s">
        <v>225</v>
      </c>
      <c r="L1254" s="23"/>
      <c r="M1254" s="26" t="s">
        <v>630</v>
      </c>
      <c r="N1254" s="24">
        <v>2021</v>
      </c>
    </row>
    <row r="1255" spans="1:14">
      <c r="A1255" s="24">
        <v>2021</v>
      </c>
      <c r="B1255" s="24" t="s">
        <v>78</v>
      </c>
      <c r="C1255" s="24" t="s">
        <v>681</v>
      </c>
      <c r="D1255" s="24" t="s">
        <v>304</v>
      </c>
      <c r="E1255" s="23">
        <v>1</v>
      </c>
      <c r="F1255" s="24" t="s">
        <v>211</v>
      </c>
      <c r="G1255" s="24" t="s">
        <v>225</v>
      </c>
      <c r="H1255" s="23" t="s">
        <v>226</v>
      </c>
      <c r="I1255" s="24" t="s">
        <v>225</v>
      </c>
      <c r="J1255" s="23" t="s">
        <v>226</v>
      </c>
      <c r="K1255" s="24" t="s">
        <v>225</v>
      </c>
      <c r="L1255" s="23"/>
      <c r="M1255" s="26" t="s">
        <v>630</v>
      </c>
      <c r="N1255" s="24">
        <v>2021</v>
      </c>
    </row>
    <row r="1256" spans="1:14">
      <c r="A1256" s="24">
        <v>2021</v>
      </c>
      <c r="B1256" s="24" t="s">
        <v>4</v>
      </c>
      <c r="C1256" s="24" t="s">
        <v>23</v>
      </c>
      <c r="D1256" s="24" t="s">
        <v>27</v>
      </c>
      <c r="E1256" s="23">
        <v>2</v>
      </c>
      <c r="F1256" s="24" t="s">
        <v>207</v>
      </c>
      <c r="G1256" s="24" t="s">
        <v>225</v>
      </c>
      <c r="H1256" s="23" t="s">
        <v>226</v>
      </c>
      <c r="I1256" s="24" t="s">
        <v>225</v>
      </c>
      <c r="J1256" s="23" t="s">
        <v>226</v>
      </c>
      <c r="K1256" s="24" t="s">
        <v>225</v>
      </c>
      <c r="L1256" s="23"/>
      <c r="M1256" s="26" t="s">
        <v>631</v>
      </c>
      <c r="N1256" s="24">
        <v>2021</v>
      </c>
    </row>
    <row r="1257" spans="1:14">
      <c r="A1257" s="24">
        <v>2021</v>
      </c>
      <c r="B1257" s="24" t="s">
        <v>78</v>
      </c>
      <c r="C1257" s="24" t="s">
        <v>681</v>
      </c>
      <c r="D1257" s="24" t="s">
        <v>632</v>
      </c>
      <c r="E1257" s="23">
        <v>3</v>
      </c>
      <c r="F1257" s="24" t="s">
        <v>207</v>
      </c>
      <c r="G1257" s="24" t="s">
        <v>225</v>
      </c>
      <c r="H1257" s="23" t="s">
        <v>226</v>
      </c>
      <c r="I1257" s="24" t="s">
        <v>225</v>
      </c>
      <c r="J1257" s="23" t="s">
        <v>226</v>
      </c>
      <c r="K1257" s="24" t="s">
        <v>225</v>
      </c>
      <c r="L1257" s="23"/>
      <c r="M1257" s="26" t="s">
        <v>631</v>
      </c>
      <c r="N1257" s="24">
        <v>2021</v>
      </c>
    </row>
    <row r="1258" spans="1:14">
      <c r="A1258" s="24">
        <v>2021</v>
      </c>
      <c r="B1258" s="24" t="s">
        <v>136</v>
      </c>
      <c r="C1258" s="24" t="s">
        <v>685</v>
      </c>
      <c r="D1258" s="24" t="s">
        <v>485</v>
      </c>
      <c r="E1258" s="23">
        <v>1</v>
      </c>
      <c r="F1258" s="24" t="s">
        <v>207</v>
      </c>
      <c r="G1258" s="24" t="s">
        <v>225</v>
      </c>
      <c r="H1258" s="23" t="s">
        <v>226</v>
      </c>
      <c r="I1258" s="24" t="s">
        <v>225</v>
      </c>
      <c r="J1258" s="23" t="s">
        <v>226</v>
      </c>
      <c r="K1258" s="24" t="s">
        <v>225</v>
      </c>
      <c r="L1258" s="23"/>
      <c r="M1258" s="25">
        <v>44565</v>
      </c>
      <c r="N1258" s="24">
        <v>2022</v>
      </c>
    </row>
    <row r="1259" spans="1:14">
      <c r="A1259" s="24">
        <v>2021</v>
      </c>
      <c r="B1259" s="24" t="s">
        <v>78</v>
      </c>
      <c r="C1259" s="24" t="s">
        <v>122</v>
      </c>
      <c r="D1259" s="24" t="s">
        <v>128</v>
      </c>
      <c r="E1259" s="23">
        <v>6</v>
      </c>
      <c r="F1259" s="24" t="s">
        <v>211</v>
      </c>
      <c r="G1259" s="24" t="s">
        <v>225</v>
      </c>
      <c r="H1259" s="23" t="s">
        <v>226</v>
      </c>
      <c r="I1259" s="24" t="s">
        <v>226</v>
      </c>
      <c r="J1259" s="23" t="s">
        <v>226</v>
      </c>
      <c r="K1259" s="24" t="s">
        <v>225</v>
      </c>
      <c r="L1259" s="23"/>
      <c r="M1259" s="25">
        <v>44565</v>
      </c>
      <c r="N1259" s="24">
        <v>2022</v>
      </c>
    </row>
    <row r="1260" spans="1:14">
      <c r="A1260" s="24">
        <v>2021</v>
      </c>
      <c r="B1260" s="24" t="s">
        <v>136</v>
      </c>
      <c r="C1260" s="24" t="s">
        <v>137</v>
      </c>
      <c r="D1260" s="24" t="s">
        <v>145</v>
      </c>
      <c r="E1260" s="23">
        <v>2</v>
      </c>
      <c r="F1260" s="24" t="s">
        <v>211</v>
      </c>
      <c r="G1260" s="24" t="s">
        <v>225</v>
      </c>
      <c r="H1260" s="23" t="s">
        <v>226</v>
      </c>
      <c r="I1260" s="24" t="s">
        <v>225</v>
      </c>
      <c r="J1260" s="23" t="s">
        <v>226</v>
      </c>
      <c r="K1260" s="24" t="s">
        <v>225</v>
      </c>
      <c r="L1260" s="23"/>
      <c r="M1260" s="25">
        <v>44565</v>
      </c>
      <c r="N1260" s="24">
        <v>2022</v>
      </c>
    </row>
    <row r="1261" spans="1:14">
      <c r="A1261" s="24">
        <v>2021</v>
      </c>
      <c r="B1261" s="24" t="s">
        <v>4</v>
      </c>
      <c r="C1261" s="24" t="s">
        <v>5</v>
      </c>
      <c r="D1261" s="24" t="s">
        <v>6</v>
      </c>
      <c r="E1261" s="23">
        <v>1</v>
      </c>
      <c r="F1261" s="24" t="s">
        <v>211</v>
      </c>
      <c r="G1261" s="24" t="s">
        <v>225</v>
      </c>
      <c r="H1261" s="23" t="s">
        <v>226</v>
      </c>
      <c r="I1261" s="24" t="s">
        <v>225</v>
      </c>
      <c r="J1261" s="23" t="s">
        <v>226</v>
      </c>
      <c r="K1261" s="24" t="s">
        <v>225</v>
      </c>
      <c r="L1261" s="23"/>
      <c r="M1261" s="25">
        <v>44565</v>
      </c>
      <c r="N1261" s="24">
        <v>2022</v>
      </c>
    </row>
    <row r="1262" spans="1:14">
      <c r="A1262" s="24">
        <v>2021</v>
      </c>
      <c r="B1262" s="24" t="s">
        <v>4</v>
      </c>
      <c r="C1262" s="24" t="s">
        <v>5</v>
      </c>
      <c r="D1262" s="24" t="s">
        <v>7</v>
      </c>
      <c r="E1262" s="23">
        <v>17</v>
      </c>
      <c r="F1262" s="24" t="s">
        <v>207</v>
      </c>
      <c r="G1262" s="24" t="s">
        <v>225</v>
      </c>
      <c r="H1262" s="23" t="s">
        <v>226</v>
      </c>
      <c r="I1262" s="24" t="s">
        <v>226</v>
      </c>
      <c r="J1262" s="23" t="s">
        <v>226</v>
      </c>
      <c r="K1262" s="24" t="s">
        <v>225</v>
      </c>
      <c r="L1262" s="23"/>
      <c r="M1262" s="25">
        <v>44565</v>
      </c>
      <c r="N1262" s="24">
        <v>2022</v>
      </c>
    </row>
    <row r="1263" spans="1:14">
      <c r="A1263" s="24">
        <v>2021</v>
      </c>
      <c r="B1263" s="24" t="s">
        <v>4</v>
      </c>
      <c r="C1263" s="24" t="s">
        <v>23</v>
      </c>
      <c r="D1263" s="24" t="s">
        <v>407</v>
      </c>
      <c r="E1263" s="23">
        <v>10</v>
      </c>
      <c r="F1263" s="24" t="s">
        <v>211</v>
      </c>
      <c r="G1263" s="24" t="s">
        <v>225</v>
      </c>
      <c r="H1263" s="23" t="s">
        <v>226</v>
      </c>
      <c r="I1263" s="24" t="s">
        <v>225</v>
      </c>
      <c r="J1263" s="23" t="s">
        <v>226</v>
      </c>
      <c r="K1263" s="24" t="s">
        <v>225</v>
      </c>
      <c r="L1263" s="23"/>
      <c r="M1263" s="25">
        <v>44565</v>
      </c>
      <c r="N1263" s="24">
        <v>2022</v>
      </c>
    </row>
    <row r="1264" spans="1:14">
      <c r="A1264" s="24">
        <v>2021</v>
      </c>
      <c r="B1264" s="24" t="s">
        <v>136</v>
      </c>
      <c r="C1264" s="24" t="s">
        <v>137</v>
      </c>
      <c r="D1264" s="24" t="s">
        <v>138</v>
      </c>
      <c r="E1264" s="23">
        <v>2</v>
      </c>
      <c r="F1264" s="24" t="s">
        <v>211</v>
      </c>
      <c r="G1264" s="24" t="s">
        <v>225</v>
      </c>
      <c r="H1264" s="23" t="s">
        <v>226</v>
      </c>
      <c r="I1264" s="24" t="s">
        <v>226</v>
      </c>
      <c r="J1264" s="23" t="s">
        <v>226</v>
      </c>
      <c r="K1264" s="24" t="s">
        <v>225</v>
      </c>
      <c r="L1264" s="23"/>
      <c r="M1264" s="25">
        <v>44565</v>
      </c>
      <c r="N1264" s="24">
        <v>2022</v>
      </c>
    </row>
    <row r="1265" spans="1:14">
      <c r="A1265" s="24">
        <v>2021</v>
      </c>
      <c r="B1265" s="24" t="s">
        <v>136</v>
      </c>
      <c r="C1265" s="24" t="s">
        <v>171</v>
      </c>
      <c r="D1265" s="24" t="s">
        <v>633</v>
      </c>
      <c r="E1265" s="23">
        <v>9</v>
      </c>
      <c r="F1265" s="24" t="s">
        <v>207</v>
      </c>
      <c r="G1265" s="24" t="s">
        <v>225</v>
      </c>
      <c r="H1265" s="23" t="s">
        <v>226</v>
      </c>
      <c r="I1265" s="24" t="s">
        <v>225</v>
      </c>
      <c r="J1265" s="23" t="s">
        <v>226</v>
      </c>
      <c r="K1265" s="24" t="s">
        <v>225</v>
      </c>
      <c r="L1265" s="23"/>
      <c r="M1265" s="25">
        <v>44565</v>
      </c>
      <c r="N1265" s="24">
        <v>2022</v>
      </c>
    </row>
    <row r="1266" spans="1:14">
      <c r="A1266" s="24">
        <v>2021</v>
      </c>
      <c r="B1266" s="24" t="s">
        <v>136</v>
      </c>
      <c r="C1266" s="24" t="s">
        <v>685</v>
      </c>
      <c r="D1266" s="24" t="s">
        <v>485</v>
      </c>
      <c r="E1266" s="23">
        <v>1</v>
      </c>
      <c r="F1266" s="24" t="s">
        <v>211</v>
      </c>
      <c r="G1266" s="24" t="s">
        <v>225</v>
      </c>
      <c r="H1266" s="23" t="s">
        <v>226</v>
      </c>
      <c r="I1266" s="24" t="s">
        <v>225</v>
      </c>
      <c r="J1266" s="23" t="s">
        <v>226</v>
      </c>
      <c r="K1266" s="24" t="s">
        <v>225</v>
      </c>
      <c r="L1266" s="23"/>
      <c r="M1266" s="25">
        <v>44565</v>
      </c>
      <c r="N1266" s="24">
        <v>2022</v>
      </c>
    </row>
    <row r="1267" spans="1:14">
      <c r="A1267" s="24">
        <v>2021</v>
      </c>
      <c r="B1267" s="24" t="s">
        <v>4</v>
      </c>
      <c r="C1267" s="24" t="s">
        <v>18</v>
      </c>
      <c r="D1267" s="24" t="s">
        <v>21</v>
      </c>
      <c r="E1267" s="23">
        <v>3</v>
      </c>
      <c r="F1267" s="24" t="s">
        <v>211</v>
      </c>
      <c r="G1267" s="24" t="s">
        <v>225</v>
      </c>
      <c r="H1267" s="23" t="s">
        <v>226</v>
      </c>
      <c r="I1267" s="24" t="s">
        <v>225</v>
      </c>
      <c r="J1267" s="23" t="s">
        <v>226</v>
      </c>
      <c r="K1267" s="24" t="s">
        <v>225</v>
      </c>
      <c r="L1267" s="23"/>
      <c r="M1267" s="25">
        <v>44565</v>
      </c>
      <c r="N1267" s="24">
        <v>2022</v>
      </c>
    </row>
    <row r="1268" spans="1:14">
      <c r="A1268" s="24">
        <v>2021</v>
      </c>
      <c r="B1268" s="24" t="s">
        <v>4</v>
      </c>
      <c r="C1268" s="24" t="s">
        <v>23</v>
      </c>
      <c r="D1268" s="24" t="s">
        <v>26</v>
      </c>
      <c r="E1268" s="23">
        <v>18</v>
      </c>
      <c r="F1268" s="24" t="s">
        <v>211</v>
      </c>
      <c r="G1268" s="24" t="s">
        <v>225</v>
      </c>
      <c r="H1268" s="23" t="s">
        <v>226</v>
      </c>
      <c r="I1268" s="24" t="s">
        <v>225</v>
      </c>
      <c r="J1268" s="23" t="s">
        <v>226</v>
      </c>
      <c r="K1268" s="24" t="s">
        <v>225</v>
      </c>
      <c r="L1268" s="23"/>
      <c r="M1268" s="26" t="s">
        <v>634</v>
      </c>
      <c r="N1268" s="24">
        <v>2022</v>
      </c>
    </row>
    <row r="1269" spans="1:14">
      <c r="A1269" s="24">
        <v>2021</v>
      </c>
      <c r="B1269" s="24" t="s">
        <v>136</v>
      </c>
      <c r="C1269" s="24" t="s">
        <v>168</v>
      </c>
      <c r="D1269" s="24" t="s">
        <v>170</v>
      </c>
      <c r="E1269" s="23">
        <v>21</v>
      </c>
      <c r="F1269" s="24" t="s">
        <v>207</v>
      </c>
      <c r="G1269" s="24" t="s">
        <v>225</v>
      </c>
      <c r="H1269" s="23" t="s">
        <v>226</v>
      </c>
      <c r="I1269" s="24" t="s">
        <v>225</v>
      </c>
      <c r="J1269" s="23" t="s">
        <v>226</v>
      </c>
      <c r="K1269" s="24" t="s">
        <v>225</v>
      </c>
      <c r="L1269" s="23"/>
      <c r="M1269" s="26" t="s">
        <v>634</v>
      </c>
      <c r="N1269" s="24">
        <v>2022</v>
      </c>
    </row>
    <row r="1270" spans="1:14">
      <c r="A1270" s="24">
        <v>2021</v>
      </c>
      <c r="B1270" s="24" t="s">
        <v>4</v>
      </c>
      <c r="C1270" s="24" t="s">
        <v>5</v>
      </c>
      <c r="D1270" s="24" t="s">
        <v>12</v>
      </c>
      <c r="E1270" s="23">
        <v>14</v>
      </c>
      <c r="F1270" s="24" t="s">
        <v>207</v>
      </c>
      <c r="G1270" s="24" t="s">
        <v>225</v>
      </c>
      <c r="H1270" s="23" t="s">
        <v>226</v>
      </c>
      <c r="I1270" s="24" t="s">
        <v>226</v>
      </c>
      <c r="J1270" s="23" t="s">
        <v>226</v>
      </c>
      <c r="K1270" s="24" t="s">
        <v>225</v>
      </c>
      <c r="L1270" s="23"/>
      <c r="M1270" s="26" t="s">
        <v>634</v>
      </c>
      <c r="N1270" s="24">
        <v>2022</v>
      </c>
    </row>
    <row r="1271" spans="1:14">
      <c r="A1271" s="24">
        <v>2021</v>
      </c>
      <c r="B1271" s="24" t="s">
        <v>136</v>
      </c>
      <c r="C1271" s="24" t="s">
        <v>152</v>
      </c>
      <c r="D1271" s="24" t="s">
        <v>155</v>
      </c>
      <c r="E1271" s="23">
        <v>1</v>
      </c>
      <c r="F1271" s="24" t="s">
        <v>211</v>
      </c>
      <c r="G1271" s="24" t="s">
        <v>225</v>
      </c>
      <c r="H1271" s="23" t="s">
        <v>226</v>
      </c>
      <c r="I1271" s="24" t="s">
        <v>225</v>
      </c>
      <c r="J1271" s="23" t="s">
        <v>226</v>
      </c>
      <c r="K1271" s="24" t="s">
        <v>225</v>
      </c>
      <c r="L1271" s="23"/>
      <c r="M1271" s="26" t="s">
        <v>634</v>
      </c>
      <c r="N1271" s="24">
        <v>2022</v>
      </c>
    </row>
    <row r="1272" spans="1:14">
      <c r="A1272" s="24">
        <v>2021</v>
      </c>
      <c r="B1272" s="24" t="s">
        <v>4</v>
      </c>
      <c r="C1272" s="24" t="s">
        <v>5</v>
      </c>
      <c r="D1272" s="24" t="s">
        <v>10</v>
      </c>
      <c r="E1272" s="23">
        <v>9</v>
      </c>
      <c r="F1272" s="24" t="s">
        <v>211</v>
      </c>
      <c r="G1272" s="24" t="s">
        <v>225</v>
      </c>
      <c r="H1272" s="23" t="s">
        <v>226</v>
      </c>
      <c r="I1272" s="24" t="s">
        <v>225</v>
      </c>
      <c r="J1272" s="23" t="s">
        <v>226</v>
      </c>
      <c r="K1272" s="24" t="s">
        <v>225</v>
      </c>
      <c r="L1272" s="23"/>
      <c r="M1272" s="26" t="s">
        <v>634</v>
      </c>
      <c r="N1272" s="24">
        <v>2022</v>
      </c>
    </row>
    <row r="1273" spans="1:14">
      <c r="A1273" s="24">
        <v>2021</v>
      </c>
      <c r="B1273" s="24" t="s">
        <v>4</v>
      </c>
      <c r="C1273" s="24" t="s">
        <v>18</v>
      </c>
      <c r="D1273" s="24" t="s">
        <v>21</v>
      </c>
      <c r="E1273" s="23">
        <v>1</v>
      </c>
      <c r="F1273" s="24" t="s">
        <v>211</v>
      </c>
      <c r="G1273" s="24" t="s">
        <v>225</v>
      </c>
      <c r="H1273" s="23" t="s">
        <v>226</v>
      </c>
      <c r="I1273" s="24" t="s">
        <v>225</v>
      </c>
      <c r="J1273" s="23" t="s">
        <v>226</v>
      </c>
      <c r="K1273" s="24" t="s">
        <v>225</v>
      </c>
      <c r="L1273" s="23"/>
      <c r="M1273" s="26" t="s">
        <v>634</v>
      </c>
      <c r="N1273" s="24">
        <v>2022</v>
      </c>
    </row>
    <row r="1274" spans="1:14">
      <c r="A1274" s="24">
        <v>2021</v>
      </c>
      <c r="B1274" s="24" t="s">
        <v>4</v>
      </c>
      <c r="C1274" s="24" t="s">
        <v>5</v>
      </c>
      <c r="D1274" s="24" t="s">
        <v>10</v>
      </c>
      <c r="E1274" s="23">
        <v>6</v>
      </c>
      <c r="F1274" s="24" t="s">
        <v>211</v>
      </c>
      <c r="G1274" s="24" t="s">
        <v>225</v>
      </c>
      <c r="H1274" s="23" t="s">
        <v>226</v>
      </c>
      <c r="I1274" s="24" t="s">
        <v>226</v>
      </c>
      <c r="J1274" s="23" t="s">
        <v>226</v>
      </c>
      <c r="K1274" s="24" t="s">
        <v>225</v>
      </c>
      <c r="L1274" s="23"/>
      <c r="M1274" s="26" t="s">
        <v>634</v>
      </c>
      <c r="N1274" s="24">
        <v>2022</v>
      </c>
    </row>
    <row r="1275" spans="1:14">
      <c r="A1275" s="24">
        <v>2021</v>
      </c>
      <c r="B1275" s="24" t="s">
        <v>78</v>
      </c>
      <c r="C1275" s="24" t="s">
        <v>122</v>
      </c>
      <c r="D1275" s="24" t="s">
        <v>125</v>
      </c>
      <c r="E1275" s="23">
        <v>2</v>
      </c>
      <c r="F1275" s="24" t="s">
        <v>207</v>
      </c>
      <c r="G1275" s="24" t="s">
        <v>225</v>
      </c>
      <c r="H1275" s="23" t="s">
        <v>226</v>
      </c>
      <c r="I1275" s="24" t="s">
        <v>225</v>
      </c>
      <c r="J1275" s="23" t="s">
        <v>226</v>
      </c>
      <c r="K1275" s="24" t="s">
        <v>225</v>
      </c>
      <c r="L1275" s="23"/>
      <c r="M1275" s="26" t="s">
        <v>635</v>
      </c>
      <c r="N1275" s="24">
        <v>2022</v>
      </c>
    </row>
    <row r="1276" spans="1:14">
      <c r="A1276" s="24">
        <v>2021</v>
      </c>
      <c r="B1276" s="24" t="s">
        <v>136</v>
      </c>
      <c r="C1276" s="24" t="s">
        <v>152</v>
      </c>
      <c r="D1276" s="24" t="s">
        <v>155</v>
      </c>
      <c r="E1276" s="23">
        <v>47</v>
      </c>
      <c r="F1276" s="24" t="s">
        <v>207</v>
      </c>
      <c r="G1276" s="24" t="s">
        <v>225</v>
      </c>
      <c r="H1276" s="23" t="s">
        <v>226</v>
      </c>
      <c r="I1276" s="24" t="s">
        <v>225</v>
      </c>
      <c r="J1276" s="23" t="s">
        <v>226</v>
      </c>
      <c r="K1276" s="24" t="s">
        <v>225</v>
      </c>
      <c r="L1276" s="23"/>
      <c r="M1276" s="26" t="s">
        <v>636</v>
      </c>
      <c r="N1276" s="24">
        <v>2022</v>
      </c>
    </row>
    <row r="1277" spans="1:14">
      <c r="A1277" s="24">
        <v>2021</v>
      </c>
      <c r="B1277" s="24" t="s">
        <v>78</v>
      </c>
      <c r="C1277" s="24" t="s">
        <v>95</v>
      </c>
      <c r="D1277" s="24" t="s">
        <v>99</v>
      </c>
      <c r="E1277" s="23">
        <v>2</v>
      </c>
      <c r="F1277" s="24" t="s">
        <v>207</v>
      </c>
      <c r="G1277" s="24" t="s">
        <v>225</v>
      </c>
      <c r="H1277" s="23" t="s">
        <v>226</v>
      </c>
      <c r="I1277" s="24" t="s">
        <v>225</v>
      </c>
      <c r="J1277" s="23" t="s">
        <v>226</v>
      </c>
      <c r="K1277" s="24" t="s">
        <v>225</v>
      </c>
      <c r="L1277" s="23"/>
      <c r="M1277" s="26" t="s">
        <v>637</v>
      </c>
      <c r="N1277" s="24">
        <v>2022</v>
      </c>
    </row>
    <row r="1278" spans="1:14">
      <c r="A1278" s="24">
        <v>2021</v>
      </c>
      <c r="B1278" s="24" t="s">
        <v>78</v>
      </c>
      <c r="C1278" s="24" t="s">
        <v>122</v>
      </c>
      <c r="D1278" s="24" t="s">
        <v>124</v>
      </c>
      <c r="E1278" s="23">
        <v>3</v>
      </c>
      <c r="F1278" s="24" t="s">
        <v>211</v>
      </c>
      <c r="G1278" s="23" t="s">
        <v>226</v>
      </c>
      <c r="H1278" s="23" t="s">
        <v>226</v>
      </c>
      <c r="I1278" s="24" t="s">
        <v>225</v>
      </c>
      <c r="J1278" s="23" t="s">
        <v>226</v>
      </c>
      <c r="K1278" s="24" t="s">
        <v>225</v>
      </c>
      <c r="L1278" s="23"/>
      <c r="M1278" s="26" t="s">
        <v>637</v>
      </c>
      <c r="N1278" s="24">
        <v>2022</v>
      </c>
    </row>
    <row r="1279" spans="1:14">
      <c r="A1279" s="24">
        <v>2021</v>
      </c>
      <c r="B1279" s="24" t="s">
        <v>4</v>
      </c>
      <c r="C1279" s="24" t="s">
        <v>18</v>
      </c>
      <c r="D1279" s="24" t="s">
        <v>22</v>
      </c>
      <c r="E1279" s="23">
        <v>3</v>
      </c>
      <c r="F1279" s="24" t="s">
        <v>207</v>
      </c>
      <c r="G1279" s="24" t="s">
        <v>225</v>
      </c>
      <c r="H1279" s="23" t="s">
        <v>226</v>
      </c>
      <c r="I1279" s="24" t="s">
        <v>225</v>
      </c>
      <c r="J1279" s="23" t="s">
        <v>226</v>
      </c>
      <c r="K1279" s="24" t="s">
        <v>225</v>
      </c>
      <c r="L1279" s="23"/>
      <c r="M1279" s="26" t="s">
        <v>638</v>
      </c>
      <c r="N1279" s="24">
        <v>2022</v>
      </c>
    </row>
    <row r="1280" spans="1:14">
      <c r="A1280" s="24">
        <v>2021</v>
      </c>
      <c r="B1280" s="24" t="s">
        <v>78</v>
      </c>
      <c r="C1280" s="24" t="s">
        <v>681</v>
      </c>
      <c r="D1280" s="24" t="s">
        <v>269</v>
      </c>
      <c r="E1280" s="23">
        <v>9</v>
      </c>
      <c r="F1280" s="24" t="s">
        <v>207</v>
      </c>
      <c r="G1280" s="24" t="s">
        <v>225</v>
      </c>
      <c r="H1280" s="23" t="s">
        <v>226</v>
      </c>
      <c r="I1280" s="24" t="s">
        <v>226</v>
      </c>
      <c r="J1280" s="23" t="s">
        <v>226</v>
      </c>
      <c r="K1280" s="24" t="s">
        <v>225</v>
      </c>
      <c r="L1280" s="23"/>
      <c r="M1280" s="26" t="s">
        <v>638</v>
      </c>
      <c r="N1280" s="24">
        <v>2022</v>
      </c>
    </row>
    <row r="1281" spans="1:14">
      <c r="A1281" s="24">
        <v>2021</v>
      </c>
      <c r="B1281" s="24" t="s">
        <v>4</v>
      </c>
      <c r="C1281" s="24" t="s">
        <v>5</v>
      </c>
      <c r="D1281" s="24" t="s">
        <v>9</v>
      </c>
      <c r="E1281" s="23">
        <v>4</v>
      </c>
      <c r="F1281" s="24" t="s">
        <v>207</v>
      </c>
      <c r="G1281" s="24" t="s">
        <v>225</v>
      </c>
      <c r="H1281" s="23" t="s">
        <v>226</v>
      </c>
      <c r="I1281" s="24" t="s">
        <v>225</v>
      </c>
      <c r="J1281" s="23" t="s">
        <v>226</v>
      </c>
      <c r="K1281" s="24" t="s">
        <v>225</v>
      </c>
      <c r="L1281" s="23"/>
      <c r="M1281" s="26" t="s">
        <v>638</v>
      </c>
      <c r="N1281" s="24">
        <v>2022</v>
      </c>
    </row>
    <row r="1282" spans="1:14">
      <c r="A1282" s="24">
        <v>2021</v>
      </c>
      <c r="B1282" s="24" t="s">
        <v>4</v>
      </c>
      <c r="C1282" s="24" t="s">
        <v>203</v>
      </c>
      <c r="D1282" s="24" t="s">
        <v>40</v>
      </c>
      <c r="E1282" s="23">
        <v>1</v>
      </c>
      <c r="F1282" s="24" t="s">
        <v>211</v>
      </c>
      <c r="G1282" s="24" t="s">
        <v>225</v>
      </c>
      <c r="H1282" s="23" t="s">
        <v>226</v>
      </c>
      <c r="I1282" s="24" t="s">
        <v>225</v>
      </c>
      <c r="J1282" s="23" t="s">
        <v>226</v>
      </c>
      <c r="K1282" s="24" t="s">
        <v>225</v>
      </c>
      <c r="L1282" s="23"/>
      <c r="M1282" s="26" t="s">
        <v>639</v>
      </c>
      <c r="N1282" s="24">
        <v>2022</v>
      </c>
    </row>
    <row r="1283" spans="1:14">
      <c r="A1283" s="24">
        <v>2021</v>
      </c>
      <c r="B1283" s="24" t="s">
        <v>4</v>
      </c>
      <c r="C1283" s="24" t="s">
        <v>31</v>
      </c>
      <c r="D1283" s="24" t="s">
        <v>33</v>
      </c>
      <c r="E1283" s="23">
        <v>12</v>
      </c>
      <c r="F1283" s="24" t="s">
        <v>211</v>
      </c>
      <c r="G1283" s="24" t="s">
        <v>225</v>
      </c>
      <c r="H1283" s="23" t="s">
        <v>226</v>
      </c>
      <c r="I1283" s="24" t="s">
        <v>225</v>
      </c>
      <c r="J1283" s="23" t="s">
        <v>226</v>
      </c>
      <c r="K1283" s="24" t="s">
        <v>225</v>
      </c>
      <c r="L1283" s="23"/>
      <c r="M1283" s="26" t="s">
        <v>639</v>
      </c>
      <c r="N1283" s="24">
        <v>2022</v>
      </c>
    </row>
    <row r="1284" spans="1:14">
      <c r="A1284" s="24">
        <v>2021</v>
      </c>
      <c r="B1284" s="24" t="s">
        <v>136</v>
      </c>
      <c r="C1284" s="24" t="s">
        <v>137</v>
      </c>
      <c r="D1284" s="24" t="s">
        <v>138</v>
      </c>
      <c r="E1284" s="23">
        <v>3</v>
      </c>
      <c r="F1284" s="24" t="s">
        <v>211</v>
      </c>
      <c r="G1284" s="24" t="s">
        <v>225</v>
      </c>
      <c r="H1284" s="23" t="s">
        <v>226</v>
      </c>
      <c r="I1284" s="24" t="s">
        <v>225</v>
      </c>
      <c r="J1284" s="23" t="s">
        <v>226</v>
      </c>
      <c r="K1284" s="24" t="s">
        <v>225</v>
      </c>
      <c r="L1284" s="23"/>
      <c r="M1284" s="26" t="s">
        <v>639</v>
      </c>
      <c r="N1284" s="24">
        <v>2022</v>
      </c>
    </row>
    <row r="1285" spans="1:14">
      <c r="A1285" s="24">
        <v>2021</v>
      </c>
      <c r="B1285" s="24" t="s">
        <v>4</v>
      </c>
      <c r="C1285" s="24" t="s">
        <v>31</v>
      </c>
      <c r="D1285" s="24" t="s">
        <v>33</v>
      </c>
      <c r="E1285" s="23">
        <v>18</v>
      </c>
      <c r="F1285" s="24" t="s">
        <v>211</v>
      </c>
      <c r="G1285" s="24" t="s">
        <v>225</v>
      </c>
      <c r="H1285" s="23" t="s">
        <v>226</v>
      </c>
      <c r="I1285" s="24" t="s">
        <v>226</v>
      </c>
      <c r="J1285" s="23" t="s">
        <v>226</v>
      </c>
      <c r="K1285" s="24" t="s">
        <v>225</v>
      </c>
      <c r="L1285" s="23"/>
      <c r="M1285" s="26" t="s">
        <v>640</v>
      </c>
      <c r="N1285" s="24">
        <v>2022</v>
      </c>
    </row>
    <row r="1286" spans="1:14">
      <c r="A1286" s="24">
        <v>2021</v>
      </c>
      <c r="B1286" s="24" t="s">
        <v>78</v>
      </c>
      <c r="C1286" s="24" t="s">
        <v>683</v>
      </c>
      <c r="D1286" s="24" t="s">
        <v>114</v>
      </c>
      <c r="E1286" s="23">
        <v>3</v>
      </c>
      <c r="F1286" s="24" t="s">
        <v>207</v>
      </c>
      <c r="G1286" s="24" t="s">
        <v>225</v>
      </c>
      <c r="H1286" s="23" t="s">
        <v>226</v>
      </c>
      <c r="I1286" s="24" t="s">
        <v>226</v>
      </c>
      <c r="J1286" s="23" t="s">
        <v>226</v>
      </c>
      <c r="K1286" s="24" t="s">
        <v>225</v>
      </c>
      <c r="L1286" s="23"/>
      <c r="M1286" s="26" t="s">
        <v>641</v>
      </c>
      <c r="N1286" s="24">
        <v>2022</v>
      </c>
    </row>
    <row r="1287" spans="1:14">
      <c r="A1287" s="24">
        <v>2021</v>
      </c>
      <c r="B1287" s="24" t="s">
        <v>78</v>
      </c>
      <c r="C1287" s="24" t="s">
        <v>95</v>
      </c>
      <c r="D1287" s="24" t="s">
        <v>100</v>
      </c>
      <c r="E1287" s="23"/>
      <c r="F1287" s="24" t="s">
        <v>211</v>
      </c>
      <c r="G1287" s="23" t="s">
        <v>226</v>
      </c>
      <c r="H1287" s="23" t="s">
        <v>225</v>
      </c>
      <c r="I1287" s="24" t="s">
        <v>225</v>
      </c>
      <c r="J1287" s="23" t="s">
        <v>226</v>
      </c>
      <c r="K1287" s="24" t="s">
        <v>225</v>
      </c>
      <c r="L1287" s="23"/>
      <c r="M1287" s="26" t="s">
        <v>642</v>
      </c>
      <c r="N1287" s="24">
        <v>2022</v>
      </c>
    </row>
    <row r="1288" spans="1:14">
      <c r="A1288" s="24">
        <v>2021</v>
      </c>
      <c r="B1288" s="24" t="s">
        <v>4</v>
      </c>
      <c r="C1288" s="24" t="s">
        <v>14</v>
      </c>
      <c r="D1288" s="24" t="s">
        <v>15</v>
      </c>
      <c r="E1288" s="23"/>
      <c r="F1288" s="24" t="s">
        <v>211</v>
      </c>
      <c r="G1288" s="24" t="s">
        <v>225</v>
      </c>
      <c r="H1288" s="23" t="s">
        <v>225</v>
      </c>
      <c r="I1288" s="24" t="s">
        <v>226</v>
      </c>
      <c r="J1288" s="23" t="s">
        <v>226</v>
      </c>
      <c r="K1288" s="24" t="s">
        <v>225</v>
      </c>
      <c r="L1288" s="23"/>
      <c r="M1288" s="26" t="s">
        <v>642</v>
      </c>
      <c r="N1288" s="24">
        <v>2022</v>
      </c>
    </row>
    <row r="1289" spans="1:14">
      <c r="A1289" s="24">
        <v>2021</v>
      </c>
      <c r="B1289" s="24" t="s">
        <v>78</v>
      </c>
      <c r="C1289" s="24" t="s">
        <v>683</v>
      </c>
      <c r="D1289" s="24" t="s">
        <v>114</v>
      </c>
      <c r="E1289" s="23">
        <v>1</v>
      </c>
      <c r="F1289" s="24" t="s">
        <v>211</v>
      </c>
      <c r="G1289" s="24" t="s">
        <v>225</v>
      </c>
      <c r="H1289" s="23" t="s">
        <v>226</v>
      </c>
      <c r="I1289" s="24" t="s">
        <v>225</v>
      </c>
      <c r="J1289" s="23" t="s">
        <v>226</v>
      </c>
      <c r="K1289" s="24" t="s">
        <v>225</v>
      </c>
      <c r="L1289" s="23"/>
      <c r="M1289" s="26" t="s">
        <v>642</v>
      </c>
      <c r="N1289" s="24">
        <v>2022</v>
      </c>
    </row>
    <row r="1290" spans="1:14">
      <c r="A1290" s="24">
        <v>2021</v>
      </c>
      <c r="B1290" s="24" t="s">
        <v>78</v>
      </c>
      <c r="C1290" s="24" t="s">
        <v>80</v>
      </c>
      <c r="D1290" s="24" t="s">
        <v>367</v>
      </c>
      <c r="E1290" s="23">
        <v>2</v>
      </c>
      <c r="F1290" s="24" t="s">
        <v>211</v>
      </c>
      <c r="G1290" s="24" t="s">
        <v>225</v>
      </c>
      <c r="H1290" s="23" t="s">
        <v>226</v>
      </c>
      <c r="I1290" s="24" t="s">
        <v>225</v>
      </c>
      <c r="J1290" s="23" t="s">
        <v>226</v>
      </c>
      <c r="K1290" s="24" t="s">
        <v>225</v>
      </c>
      <c r="L1290" s="23"/>
      <c r="M1290" s="26" t="s">
        <v>642</v>
      </c>
      <c r="N1290" s="24">
        <v>2022</v>
      </c>
    </row>
    <row r="1291" spans="1:14">
      <c r="A1291" s="24">
        <v>2021</v>
      </c>
      <c r="B1291" s="24" t="s">
        <v>136</v>
      </c>
      <c r="C1291" s="24" t="s">
        <v>137</v>
      </c>
      <c r="D1291" s="24" t="s">
        <v>138</v>
      </c>
      <c r="E1291" s="23">
        <v>3</v>
      </c>
      <c r="F1291" s="24" t="s">
        <v>207</v>
      </c>
      <c r="G1291" s="24" t="s">
        <v>225</v>
      </c>
      <c r="H1291" s="23" t="s">
        <v>226</v>
      </c>
      <c r="I1291" s="24" t="s">
        <v>225</v>
      </c>
      <c r="J1291" s="23" t="s">
        <v>226</v>
      </c>
      <c r="K1291" s="24" t="s">
        <v>225</v>
      </c>
      <c r="L1291" s="23"/>
      <c r="M1291" s="26" t="s">
        <v>642</v>
      </c>
      <c r="N1291" s="24">
        <v>2022</v>
      </c>
    </row>
    <row r="1292" spans="1:14">
      <c r="A1292" s="24">
        <v>2021</v>
      </c>
      <c r="B1292" s="24" t="s">
        <v>136</v>
      </c>
      <c r="C1292" s="24" t="s">
        <v>171</v>
      </c>
      <c r="D1292" s="24" t="s">
        <v>525</v>
      </c>
      <c r="E1292" s="23"/>
      <c r="F1292" s="24" t="s">
        <v>207</v>
      </c>
      <c r="G1292" s="24" t="s">
        <v>225</v>
      </c>
      <c r="H1292" s="23" t="s">
        <v>225</v>
      </c>
      <c r="I1292" s="24" t="s">
        <v>225</v>
      </c>
      <c r="J1292" s="23" t="s">
        <v>226</v>
      </c>
      <c r="K1292" s="24" t="s">
        <v>225</v>
      </c>
      <c r="L1292" s="23"/>
      <c r="M1292" s="26" t="s">
        <v>643</v>
      </c>
      <c r="N1292" s="24">
        <v>2022</v>
      </c>
    </row>
    <row r="1293" spans="1:14">
      <c r="A1293" s="24">
        <v>2021</v>
      </c>
      <c r="B1293" s="24" t="s">
        <v>4</v>
      </c>
      <c r="C1293" s="24" t="s">
        <v>5</v>
      </c>
      <c r="D1293" s="24" t="s">
        <v>9</v>
      </c>
      <c r="E1293" s="23">
        <v>1</v>
      </c>
      <c r="F1293" s="24" t="s">
        <v>211</v>
      </c>
      <c r="G1293" s="24" t="s">
        <v>225</v>
      </c>
      <c r="H1293" s="23" t="s">
        <v>226</v>
      </c>
      <c r="I1293" s="24" t="s">
        <v>225</v>
      </c>
      <c r="J1293" s="23" t="s">
        <v>226</v>
      </c>
      <c r="K1293" s="24" t="s">
        <v>225</v>
      </c>
      <c r="L1293" s="23"/>
      <c r="M1293" s="26" t="s">
        <v>643</v>
      </c>
      <c r="N1293" s="24">
        <v>2022</v>
      </c>
    </row>
    <row r="1294" spans="1:14">
      <c r="A1294" s="24">
        <v>2021</v>
      </c>
      <c r="B1294" s="24" t="s">
        <v>4</v>
      </c>
      <c r="C1294" s="24" t="s">
        <v>5</v>
      </c>
      <c r="D1294" s="24" t="s">
        <v>8</v>
      </c>
      <c r="E1294" s="23">
        <v>17</v>
      </c>
      <c r="F1294" s="24" t="s">
        <v>207</v>
      </c>
      <c r="G1294" s="24" t="s">
        <v>225</v>
      </c>
      <c r="H1294" s="23" t="s">
        <v>226</v>
      </c>
      <c r="I1294" s="24" t="s">
        <v>226</v>
      </c>
      <c r="J1294" s="23" t="s">
        <v>226</v>
      </c>
      <c r="K1294" s="24" t="s">
        <v>225</v>
      </c>
      <c r="L1294" s="23"/>
      <c r="M1294" s="26" t="s">
        <v>643</v>
      </c>
      <c r="N1294" s="24">
        <v>2022</v>
      </c>
    </row>
    <row r="1295" spans="1:14">
      <c r="A1295" s="24">
        <v>2021</v>
      </c>
      <c r="B1295" s="24" t="s">
        <v>136</v>
      </c>
      <c r="C1295" s="24" t="s">
        <v>137</v>
      </c>
      <c r="D1295" s="24" t="s">
        <v>142</v>
      </c>
      <c r="E1295" s="23">
        <v>4</v>
      </c>
      <c r="F1295" s="24" t="s">
        <v>207</v>
      </c>
      <c r="G1295" s="24" t="s">
        <v>225</v>
      </c>
      <c r="H1295" s="23" t="s">
        <v>226</v>
      </c>
      <c r="I1295" s="24" t="s">
        <v>226</v>
      </c>
      <c r="J1295" s="23" t="s">
        <v>226</v>
      </c>
      <c r="K1295" s="24" t="s">
        <v>225</v>
      </c>
      <c r="L1295" s="23"/>
      <c r="M1295" s="25">
        <v>44594</v>
      </c>
      <c r="N1295" s="24">
        <v>2022</v>
      </c>
    </row>
    <row r="1296" spans="1:14">
      <c r="A1296" s="24">
        <v>2021</v>
      </c>
      <c r="B1296" s="24" t="s">
        <v>136</v>
      </c>
      <c r="C1296" s="24" t="s">
        <v>189</v>
      </c>
      <c r="D1296" s="24" t="s">
        <v>258</v>
      </c>
      <c r="E1296" s="23"/>
      <c r="F1296" s="24" t="s">
        <v>207</v>
      </c>
      <c r="G1296" s="24" t="s">
        <v>225</v>
      </c>
      <c r="H1296" s="23" t="s">
        <v>225</v>
      </c>
      <c r="I1296" s="24" t="s">
        <v>225</v>
      </c>
      <c r="J1296" s="23" t="s">
        <v>226</v>
      </c>
      <c r="K1296" s="24" t="s">
        <v>225</v>
      </c>
      <c r="L1296" s="23"/>
      <c r="M1296" s="25">
        <v>44595</v>
      </c>
      <c r="N1296" s="24">
        <v>2022</v>
      </c>
    </row>
    <row r="1297" spans="1:14">
      <c r="A1297" s="24">
        <v>2021</v>
      </c>
      <c r="B1297" s="24" t="s">
        <v>4</v>
      </c>
      <c r="C1297" s="24" t="s">
        <v>203</v>
      </c>
      <c r="D1297" s="24" t="s">
        <v>40</v>
      </c>
      <c r="E1297" s="23"/>
      <c r="F1297" s="24" t="s">
        <v>211</v>
      </c>
      <c r="G1297" s="24" t="s">
        <v>225</v>
      </c>
      <c r="H1297" s="23" t="s">
        <v>225</v>
      </c>
      <c r="I1297" s="24" t="s">
        <v>226</v>
      </c>
      <c r="J1297" s="23" t="s">
        <v>226</v>
      </c>
      <c r="K1297" s="24" t="s">
        <v>225</v>
      </c>
      <c r="L1297" s="23"/>
      <c r="M1297" s="26" t="s">
        <v>644</v>
      </c>
      <c r="N1297" s="24">
        <v>2022</v>
      </c>
    </row>
    <row r="1298" spans="1:14">
      <c r="A1298" s="24">
        <v>2021</v>
      </c>
      <c r="B1298" s="24" t="s">
        <v>136</v>
      </c>
      <c r="C1298" s="24" t="s">
        <v>152</v>
      </c>
      <c r="D1298" s="24" t="s">
        <v>157</v>
      </c>
      <c r="E1298" s="23"/>
      <c r="F1298" s="24" t="s">
        <v>207</v>
      </c>
      <c r="G1298" s="24" t="s">
        <v>225</v>
      </c>
      <c r="H1298" s="23" t="s">
        <v>225</v>
      </c>
      <c r="I1298" s="24" t="s">
        <v>225</v>
      </c>
      <c r="J1298" s="23" t="s">
        <v>226</v>
      </c>
      <c r="K1298" s="24" t="s">
        <v>225</v>
      </c>
      <c r="L1298" s="23"/>
      <c r="M1298" s="26" t="s">
        <v>645</v>
      </c>
      <c r="N1298" s="24">
        <v>2022</v>
      </c>
    </row>
    <row r="1299" spans="1:14">
      <c r="A1299" s="24">
        <v>2021</v>
      </c>
      <c r="B1299" s="24" t="s">
        <v>136</v>
      </c>
      <c r="C1299" s="24" t="s">
        <v>176</v>
      </c>
      <c r="D1299" s="24" t="s">
        <v>177</v>
      </c>
      <c r="E1299" s="23"/>
      <c r="F1299" s="24" t="s">
        <v>211</v>
      </c>
      <c r="G1299" s="24" t="s">
        <v>225</v>
      </c>
      <c r="H1299" s="23" t="s">
        <v>225</v>
      </c>
      <c r="I1299" s="24" t="s">
        <v>225</v>
      </c>
      <c r="J1299" s="23" t="s">
        <v>226</v>
      </c>
      <c r="K1299" s="24" t="s">
        <v>225</v>
      </c>
      <c r="L1299" s="23"/>
      <c r="M1299" s="26" t="s">
        <v>645</v>
      </c>
      <c r="N1299" s="24">
        <v>2022</v>
      </c>
    </row>
    <row r="1300" spans="1:14">
      <c r="A1300" s="24">
        <v>2021</v>
      </c>
      <c r="B1300" s="24" t="s">
        <v>136</v>
      </c>
      <c r="C1300" s="24" t="s">
        <v>137</v>
      </c>
      <c r="D1300" s="24" t="s">
        <v>138</v>
      </c>
      <c r="E1300" s="23">
        <v>1</v>
      </c>
      <c r="F1300" s="24" t="s">
        <v>207</v>
      </c>
      <c r="G1300" s="24" t="s">
        <v>225</v>
      </c>
      <c r="H1300" s="23" t="s">
        <v>226</v>
      </c>
      <c r="I1300" s="24" t="s">
        <v>225</v>
      </c>
      <c r="J1300" s="23" t="s">
        <v>226</v>
      </c>
      <c r="K1300" s="24" t="s">
        <v>225</v>
      </c>
      <c r="L1300" s="23"/>
      <c r="M1300" s="26" t="s">
        <v>645</v>
      </c>
      <c r="N1300" s="24">
        <v>2022</v>
      </c>
    </row>
    <row r="1301" spans="1:14">
      <c r="A1301" s="24">
        <v>2021</v>
      </c>
      <c r="B1301" s="24" t="s">
        <v>78</v>
      </c>
      <c r="C1301" s="24" t="s">
        <v>681</v>
      </c>
      <c r="D1301" s="24" t="s">
        <v>248</v>
      </c>
      <c r="E1301" s="23">
        <v>2</v>
      </c>
      <c r="F1301" s="24" t="s">
        <v>207</v>
      </c>
      <c r="G1301" s="24" t="s">
        <v>225</v>
      </c>
      <c r="H1301" s="23" t="s">
        <v>226</v>
      </c>
      <c r="I1301" s="24" t="s">
        <v>225</v>
      </c>
      <c r="J1301" s="23" t="s">
        <v>226</v>
      </c>
      <c r="K1301" s="24" t="s">
        <v>225</v>
      </c>
      <c r="L1301" s="23"/>
      <c r="M1301" s="26" t="s">
        <v>646</v>
      </c>
      <c r="N1301" s="24">
        <v>2022</v>
      </c>
    </row>
    <row r="1302" spans="1:14">
      <c r="A1302" s="24">
        <v>2021</v>
      </c>
      <c r="B1302" s="24" t="s">
        <v>136</v>
      </c>
      <c r="C1302" s="24" t="s">
        <v>137</v>
      </c>
      <c r="D1302" s="24" t="s">
        <v>141</v>
      </c>
      <c r="E1302" s="23">
        <v>8</v>
      </c>
      <c r="F1302" s="24" t="s">
        <v>211</v>
      </c>
      <c r="G1302" s="24" t="s">
        <v>225</v>
      </c>
      <c r="H1302" s="23" t="s">
        <v>226</v>
      </c>
      <c r="I1302" s="24" t="s">
        <v>226</v>
      </c>
      <c r="J1302" s="23" t="s">
        <v>226</v>
      </c>
      <c r="K1302" s="24" t="s">
        <v>225</v>
      </c>
      <c r="L1302" s="23"/>
      <c r="M1302" s="26" t="s">
        <v>647</v>
      </c>
      <c r="N1302" s="24">
        <v>2022</v>
      </c>
    </row>
    <row r="1303" spans="1:14">
      <c r="A1303" s="24">
        <v>2021</v>
      </c>
      <c r="B1303" s="24" t="s">
        <v>78</v>
      </c>
      <c r="C1303" s="24" t="s">
        <v>681</v>
      </c>
      <c r="D1303" s="24" t="s">
        <v>202</v>
      </c>
      <c r="E1303" s="23">
        <v>2</v>
      </c>
      <c r="F1303" s="24" t="s">
        <v>211</v>
      </c>
      <c r="G1303" s="24" t="s">
        <v>225</v>
      </c>
      <c r="H1303" s="23" t="s">
        <v>226</v>
      </c>
      <c r="I1303" s="24" t="s">
        <v>226</v>
      </c>
      <c r="J1303" s="23" t="s">
        <v>226</v>
      </c>
      <c r="K1303" s="24" t="s">
        <v>225</v>
      </c>
      <c r="L1303" s="23"/>
      <c r="M1303" s="26" t="s">
        <v>648</v>
      </c>
      <c r="N1303" s="24">
        <v>2022</v>
      </c>
    </row>
    <row r="1304" spans="1:14">
      <c r="A1304" s="24">
        <v>2021</v>
      </c>
      <c r="B1304" s="24" t="s">
        <v>78</v>
      </c>
      <c r="C1304" s="24" t="s">
        <v>681</v>
      </c>
      <c r="D1304" s="24" t="s">
        <v>201</v>
      </c>
      <c r="E1304" s="23">
        <v>9</v>
      </c>
      <c r="F1304" s="24" t="s">
        <v>207</v>
      </c>
      <c r="G1304" s="24" t="s">
        <v>225</v>
      </c>
      <c r="H1304" s="23" t="s">
        <v>226</v>
      </c>
      <c r="I1304" s="24" t="s">
        <v>226</v>
      </c>
      <c r="J1304" s="23" t="s">
        <v>226</v>
      </c>
      <c r="K1304" s="24" t="s">
        <v>225</v>
      </c>
      <c r="L1304" s="23"/>
      <c r="M1304" s="26" t="s">
        <v>648</v>
      </c>
      <c r="N1304" s="24">
        <v>2022</v>
      </c>
    </row>
    <row r="1305" spans="1:14">
      <c r="A1305" s="24">
        <v>2021</v>
      </c>
      <c r="B1305" s="24" t="s">
        <v>136</v>
      </c>
      <c r="C1305" s="24" t="s">
        <v>137</v>
      </c>
      <c r="D1305" s="24" t="s">
        <v>142</v>
      </c>
      <c r="E1305" s="23">
        <v>4</v>
      </c>
      <c r="F1305" s="24" t="s">
        <v>211</v>
      </c>
      <c r="G1305" s="23" t="s">
        <v>226</v>
      </c>
      <c r="H1305" s="23" t="s">
        <v>226</v>
      </c>
      <c r="I1305" s="24" t="s">
        <v>226</v>
      </c>
      <c r="J1305" s="23" t="s">
        <v>226</v>
      </c>
      <c r="K1305" s="24" t="s">
        <v>225</v>
      </c>
      <c r="L1305" s="23"/>
      <c r="M1305" s="26" t="s">
        <v>649</v>
      </c>
      <c r="N1305" s="24">
        <v>2022</v>
      </c>
    </row>
    <row r="1306" spans="1:14">
      <c r="A1306" s="24">
        <v>2021</v>
      </c>
      <c r="B1306" s="24" t="s">
        <v>78</v>
      </c>
      <c r="C1306" s="24" t="s">
        <v>683</v>
      </c>
      <c r="D1306" s="24" t="s">
        <v>114</v>
      </c>
      <c r="E1306" s="23">
        <v>5</v>
      </c>
      <c r="F1306" s="24" t="s">
        <v>211</v>
      </c>
      <c r="G1306" s="24" t="s">
        <v>225</v>
      </c>
      <c r="H1306" s="23" t="s">
        <v>226</v>
      </c>
      <c r="I1306" s="24" t="s">
        <v>225</v>
      </c>
      <c r="J1306" s="23" t="s">
        <v>226</v>
      </c>
      <c r="K1306" s="24" t="s">
        <v>225</v>
      </c>
      <c r="L1306" s="23"/>
      <c r="M1306" s="26" t="s">
        <v>649</v>
      </c>
      <c r="N1306" s="24">
        <v>2022</v>
      </c>
    </row>
    <row r="1307" spans="1:14">
      <c r="A1307" s="24">
        <v>2021</v>
      </c>
      <c r="B1307" s="24" t="s">
        <v>136</v>
      </c>
      <c r="C1307" s="24" t="s">
        <v>176</v>
      </c>
      <c r="D1307" s="24" t="s">
        <v>179</v>
      </c>
      <c r="E1307" s="23">
        <v>2</v>
      </c>
      <c r="F1307" s="24" t="s">
        <v>211</v>
      </c>
      <c r="G1307" s="24" t="s">
        <v>225</v>
      </c>
      <c r="H1307" s="23" t="s">
        <v>226</v>
      </c>
      <c r="I1307" s="24" t="s">
        <v>226</v>
      </c>
      <c r="J1307" s="23" t="s">
        <v>226</v>
      </c>
      <c r="K1307" s="24" t="s">
        <v>225</v>
      </c>
      <c r="L1307" s="23"/>
      <c r="M1307" s="26" t="s">
        <v>650</v>
      </c>
      <c r="N1307" s="24">
        <v>2022</v>
      </c>
    </row>
    <row r="1308" spans="1:14">
      <c r="A1308" s="24">
        <v>2021</v>
      </c>
      <c r="B1308" s="24" t="s">
        <v>136</v>
      </c>
      <c r="C1308" s="24" t="s">
        <v>176</v>
      </c>
      <c r="D1308" s="24" t="s">
        <v>177</v>
      </c>
      <c r="E1308" s="23"/>
      <c r="F1308" s="24" t="s">
        <v>207</v>
      </c>
      <c r="G1308" s="24" t="s">
        <v>225</v>
      </c>
      <c r="H1308" s="23" t="s">
        <v>225</v>
      </c>
      <c r="I1308" s="24" t="s">
        <v>225</v>
      </c>
      <c r="J1308" s="23" t="s">
        <v>226</v>
      </c>
      <c r="K1308" s="24" t="s">
        <v>225</v>
      </c>
      <c r="L1308" s="23"/>
      <c r="M1308" s="26" t="s">
        <v>650</v>
      </c>
      <c r="N1308" s="24">
        <v>2022</v>
      </c>
    </row>
    <row r="1309" spans="1:14">
      <c r="A1309" s="24">
        <v>2021</v>
      </c>
      <c r="B1309" s="24" t="s">
        <v>4</v>
      </c>
      <c r="C1309" s="24" t="s">
        <v>203</v>
      </c>
      <c r="D1309" s="24" t="s">
        <v>330</v>
      </c>
      <c r="E1309" s="23">
        <v>10</v>
      </c>
      <c r="F1309" s="24" t="s">
        <v>211</v>
      </c>
      <c r="G1309" s="24" t="s">
        <v>225</v>
      </c>
      <c r="H1309" s="23" t="s">
        <v>226</v>
      </c>
      <c r="I1309" s="24" t="s">
        <v>225</v>
      </c>
      <c r="J1309" s="23" t="s">
        <v>226</v>
      </c>
      <c r="K1309" s="24" t="s">
        <v>225</v>
      </c>
      <c r="L1309" s="23"/>
      <c r="M1309" s="26" t="s">
        <v>650</v>
      </c>
      <c r="N1309" s="24">
        <v>2022</v>
      </c>
    </row>
    <row r="1310" spans="1:14">
      <c r="A1310" s="24">
        <v>2021</v>
      </c>
      <c r="B1310" s="24" t="s">
        <v>136</v>
      </c>
      <c r="C1310" s="24" t="s">
        <v>176</v>
      </c>
      <c r="D1310" s="24" t="s">
        <v>180</v>
      </c>
      <c r="E1310" s="23">
        <v>4</v>
      </c>
      <c r="F1310" s="24" t="s">
        <v>207</v>
      </c>
      <c r="G1310" s="24" t="s">
        <v>225</v>
      </c>
      <c r="H1310" s="23" t="s">
        <v>226</v>
      </c>
      <c r="I1310" s="24" t="s">
        <v>226</v>
      </c>
      <c r="J1310" s="23" t="s">
        <v>226</v>
      </c>
      <c r="K1310" s="24" t="s">
        <v>225</v>
      </c>
      <c r="L1310" s="23"/>
      <c r="M1310" s="26" t="s">
        <v>650</v>
      </c>
      <c r="N1310" s="24">
        <v>2022</v>
      </c>
    </row>
    <row r="1311" spans="1:14">
      <c r="A1311" s="24">
        <v>2021</v>
      </c>
      <c r="B1311" s="24" t="s">
        <v>4</v>
      </c>
      <c r="C1311" s="24" t="s">
        <v>23</v>
      </c>
      <c r="D1311" s="24" t="s">
        <v>407</v>
      </c>
      <c r="E1311" s="23">
        <v>30</v>
      </c>
      <c r="F1311" s="24" t="s">
        <v>211</v>
      </c>
      <c r="G1311" s="24" t="s">
        <v>225</v>
      </c>
      <c r="H1311" s="23" t="s">
        <v>226</v>
      </c>
      <c r="I1311" s="24" t="s">
        <v>226</v>
      </c>
      <c r="J1311" s="23" t="s">
        <v>226</v>
      </c>
      <c r="K1311" s="24" t="s">
        <v>225</v>
      </c>
      <c r="L1311" s="23"/>
      <c r="M1311" s="26" t="s">
        <v>650</v>
      </c>
      <c r="N1311" s="24">
        <v>2022</v>
      </c>
    </row>
    <row r="1312" spans="1:14">
      <c r="A1312" s="24">
        <v>2021</v>
      </c>
      <c r="B1312" s="24" t="s">
        <v>136</v>
      </c>
      <c r="C1312" s="24" t="s">
        <v>189</v>
      </c>
      <c r="D1312" s="24" t="s">
        <v>196</v>
      </c>
      <c r="E1312" s="23">
        <v>3</v>
      </c>
      <c r="F1312" s="24" t="s">
        <v>211</v>
      </c>
      <c r="G1312" s="24" t="s">
        <v>225</v>
      </c>
      <c r="H1312" s="23" t="s">
        <v>226</v>
      </c>
      <c r="I1312" s="24" t="s">
        <v>226</v>
      </c>
      <c r="J1312" s="23" t="s">
        <v>226</v>
      </c>
      <c r="K1312" s="24" t="s">
        <v>225</v>
      </c>
      <c r="L1312" s="23"/>
      <c r="M1312" s="26" t="s">
        <v>650</v>
      </c>
      <c r="N1312" s="24">
        <v>2022</v>
      </c>
    </row>
    <row r="1313" spans="1:14">
      <c r="A1313" s="24">
        <v>2021</v>
      </c>
      <c r="B1313" s="24" t="s">
        <v>4</v>
      </c>
      <c r="C1313" s="24" t="s">
        <v>23</v>
      </c>
      <c r="D1313" s="24" t="s">
        <v>407</v>
      </c>
      <c r="E1313" s="23">
        <v>25</v>
      </c>
      <c r="F1313" s="24" t="s">
        <v>211</v>
      </c>
      <c r="G1313" s="24" t="s">
        <v>225</v>
      </c>
      <c r="H1313" s="23" t="s">
        <v>226</v>
      </c>
      <c r="I1313" s="24" t="s">
        <v>225</v>
      </c>
      <c r="J1313" s="23" t="s">
        <v>226</v>
      </c>
      <c r="K1313" s="24" t="s">
        <v>225</v>
      </c>
      <c r="L1313" s="23"/>
      <c r="M1313" s="26" t="s">
        <v>650</v>
      </c>
      <c r="N1313" s="24">
        <v>2022</v>
      </c>
    </row>
    <row r="1314" spans="1:14">
      <c r="A1314" s="24">
        <v>2021</v>
      </c>
      <c r="B1314" s="24" t="s">
        <v>78</v>
      </c>
      <c r="C1314" s="24" t="s">
        <v>95</v>
      </c>
      <c r="D1314" s="24" t="s">
        <v>97</v>
      </c>
      <c r="E1314" s="23">
        <v>1</v>
      </c>
      <c r="F1314" s="24" t="s">
        <v>207</v>
      </c>
      <c r="G1314" s="24" t="s">
        <v>225</v>
      </c>
      <c r="H1314" s="23" t="s">
        <v>226</v>
      </c>
      <c r="I1314" s="24" t="s">
        <v>225</v>
      </c>
      <c r="J1314" s="23" t="s">
        <v>226</v>
      </c>
      <c r="K1314" s="24" t="s">
        <v>225</v>
      </c>
      <c r="L1314" s="23"/>
      <c r="M1314" s="25">
        <v>44622</v>
      </c>
      <c r="N1314" s="24">
        <v>2022</v>
      </c>
    </row>
    <row r="1315" spans="1:14">
      <c r="A1315" s="24">
        <v>2021</v>
      </c>
      <c r="B1315" s="24" t="s">
        <v>78</v>
      </c>
      <c r="C1315" s="24" t="s">
        <v>79</v>
      </c>
      <c r="D1315" s="24" t="s">
        <v>56</v>
      </c>
      <c r="E1315" s="23">
        <v>1</v>
      </c>
      <c r="F1315" s="24" t="s">
        <v>207</v>
      </c>
      <c r="G1315" s="24" t="s">
        <v>225</v>
      </c>
      <c r="H1315" s="23" t="s">
        <v>226</v>
      </c>
      <c r="I1315" s="24" t="s">
        <v>225</v>
      </c>
      <c r="J1315" s="23" t="s">
        <v>226</v>
      </c>
      <c r="K1315" s="24" t="s">
        <v>225</v>
      </c>
      <c r="L1315" s="23"/>
      <c r="M1315" s="25">
        <v>44626</v>
      </c>
      <c r="N1315" s="24">
        <v>2022</v>
      </c>
    </row>
    <row r="1316" spans="1:14">
      <c r="A1316" s="24">
        <v>2021</v>
      </c>
      <c r="B1316" s="24" t="s">
        <v>136</v>
      </c>
      <c r="C1316" s="24" t="s">
        <v>152</v>
      </c>
      <c r="D1316" s="24" t="s">
        <v>157</v>
      </c>
      <c r="E1316" s="23">
        <v>2</v>
      </c>
      <c r="F1316" s="24" t="s">
        <v>207</v>
      </c>
      <c r="G1316" s="24" t="s">
        <v>225</v>
      </c>
      <c r="H1316" s="23" t="s">
        <v>226</v>
      </c>
      <c r="I1316" s="24" t="s">
        <v>225</v>
      </c>
      <c r="J1316" s="23" t="s">
        <v>226</v>
      </c>
      <c r="K1316" s="24" t="s">
        <v>225</v>
      </c>
      <c r="L1316" s="23"/>
      <c r="M1316" s="26" t="s">
        <v>651</v>
      </c>
      <c r="N1316" s="24">
        <v>2022</v>
      </c>
    </row>
    <row r="1317" spans="1:14">
      <c r="A1317" s="24">
        <v>2021</v>
      </c>
      <c r="B1317" s="24" t="s">
        <v>4</v>
      </c>
      <c r="C1317" s="24" t="s">
        <v>23</v>
      </c>
      <c r="D1317" s="24" t="s">
        <v>29</v>
      </c>
      <c r="E1317" s="23">
        <v>37</v>
      </c>
      <c r="F1317" s="24" t="s">
        <v>207</v>
      </c>
      <c r="G1317" s="24" t="s">
        <v>225</v>
      </c>
      <c r="H1317" s="23" t="s">
        <v>226</v>
      </c>
      <c r="I1317" s="24" t="s">
        <v>226</v>
      </c>
      <c r="J1317" s="23" t="s">
        <v>226</v>
      </c>
      <c r="K1317" s="24" t="s">
        <v>225</v>
      </c>
      <c r="L1317" s="23"/>
      <c r="M1317" s="26" t="s">
        <v>652</v>
      </c>
      <c r="N1317" s="24">
        <v>2022</v>
      </c>
    </row>
    <row r="1318" spans="1:14">
      <c r="A1318" s="24">
        <v>2021</v>
      </c>
      <c r="B1318" s="24" t="s">
        <v>136</v>
      </c>
      <c r="C1318" s="24" t="s">
        <v>152</v>
      </c>
      <c r="D1318" s="24" t="s">
        <v>159</v>
      </c>
      <c r="E1318" s="23"/>
      <c r="F1318" s="24" t="s">
        <v>207</v>
      </c>
      <c r="G1318" s="23" t="s">
        <v>226</v>
      </c>
      <c r="H1318" s="23" t="s">
        <v>225</v>
      </c>
      <c r="I1318" s="24" t="s">
        <v>225</v>
      </c>
      <c r="J1318" s="23" t="s">
        <v>226</v>
      </c>
      <c r="K1318" s="24" t="s">
        <v>225</v>
      </c>
      <c r="L1318" s="23"/>
      <c r="M1318" s="26" t="s">
        <v>652</v>
      </c>
      <c r="N1318" s="24">
        <v>2022</v>
      </c>
    </row>
    <row r="1319" spans="1:14">
      <c r="A1319" s="24">
        <v>2021</v>
      </c>
      <c r="B1319" s="24" t="s">
        <v>78</v>
      </c>
      <c r="C1319" s="24" t="s">
        <v>79</v>
      </c>
      <c r="D1319" s="24" t="s">
        <v>401</v>
      </c>
      <c r="E1319" s="23">
        <v>1</v>
      </c>
      <c r="F1319" s="24" t="s">
        <v>207</v>
      </c>
      <c r="G1319" s="24" t="s">
        <v>225</v>
      </c>
      <c r="H1319" s="23" t="s">
        <v>226</v>
      </c>
      <c r="I1319" s="24" t="s">
        <v>226</v>
      </c>
      <c r="J1319" s="23" t="s">
        <v>226</v>
      </c>
      <c r="K1319" s="24" t="s">
        <v>225</v>
      </c>
      <c r="L1319" s="23"/>
      <c r="M1319" s="26" t="s">
        <v>653</v>
      </c>
      <c r="N1319" s="24">
        <v>2022</v>
      </c>
    </row>
    <row r="1320" spans="1:14">
      <c r="A1320" s="24">
        <v>2021</v>
      </c>
      <c r="B1320" s="24" t="s">
        <v>78</v>
      </c>
      <c r="C1320" s="24" t="s">
        <v>122</v>
      </c>
      <c r="D1320" s="24" t="s">
        <v>368</v>
      </c>
      <c r="E1320" s="23">
        <v>9</v>
      </c>
      <c r="F1320" s="24" t="s">
        <v>211</v>
      </c>
      <c r="G1320" s="24" t="s">
        <v>225</v>
      </c>
      <c r="H1320" s="23" t="s">
        <v>226</v>
      </c>
      <c r="I1320" s="24" t="s">
        <v>226</v>
      </c>
      <c r="J1320" s="23" t="s">
        <v>226</v>
      </c>
      <c r="K1320" s="24" t="s">
        <v>225</v>
      </c>
      <c r="L1320" s="23"/>
      <c r="M1320" s="26" t="s">
        <v>653</v>
      </c>
      <c r="N1320" s="24">
        <v>2022</v>
      </c>
    </row>
    <row r="1321" spans="1:14">
      <c r="A1321" s="24">
        <v>2021</v>
      </c>
      <c r="B1321" s="24" t="s">
        <v>136</v>
      </c>
      <c r="C1321" s="24" t="s">
        <v>137</v>
      </c>
      <c r="D1321" s="24" t="s">
        <v>144</v>
      </c>
      <c r="E1321" s="23">
        <v>1</v>
      </c>
      <c r="F1321" s="24" t="s">
        <v>207</v>
      </c>
      <c r="G1321" s="24" t="s">
        <v>225</v>
      </c>
      <c r="H1321" s="23" t="s">
        <v>226</v>
      </c>
      <c r="I1321" s="24" t="s">
        <v>226</v>
      </c>
      <c r="J1321" s="23" t="s">
        <v>226</v>
      </c>
      <c r="K1321" s="24" t="s">
        <v>225</v>
      </c>
      <c r="L1321" s="23"/>
      <c r="M1321" s="26" t="s">
        <v>653</v>
      </c>
      <c r="N1321" s="24">
        <v>2022</v>
      </c>
    </row>
    <row r="1322" spans="1:14">
      <c r="A1322" s="24">
        <v>2021</v>
      </c>
      <c r="B1322" s="24" t="s">
        <v>136</v>
      </c>
      <c r="C1322" s="24" t="s">
        <v>137</v>
      </c>
      <c r="D1322" s="24" t="s">
        <v>141</v>
      </c>
      <c r="E1322" s="23">
        <v>24</v>
      </c>
      <c r="F1322" s="24" t="s">
        <v>207</v>
      </c>
      <c r="G1322" s="24" t="s">
        <v>225</v>
      </c>
      <c r="H1322" s="23" t="s">
        <v>226</v>
      </c>
      <c r="I1322" s="24" t="s">
        <v>226</v>
      </c>
      <c r="J1322" s="23" t="s">
        <v>226</v>
      </c>
      <c r="K1322" s="24" t="s">
        <v>225</v>
      </c>
      <c r="L1322" s="23"/>
      <c r="M1322" s="26" t="s">
        <v>653</v>
      </c>
      <c r="N1322" s="24">
        <v>2022</v>
      </c>
    </row>
    <row r="1323" spans="1:14">
      <c r="A1323" s="24">
        <v>2021</v>
      </c>
      <c r="B1323" s="24" t="s">
        <v>136</v>
      </c>
      <c r="C1323" s="24" t="s">
        <v>137</v>
      </c>
      <c r="D1323" s="24" t="s">
        <v>141</v>
      </c>
      <c r="E1323" s="23">
        <v>3</v>
      </c>
      <c r="F1323" s="24" t="s">
        <v>207</v>
      </c>
      <c r="G1323" s="24" t="s">
        <v>225</v>
      </c>
      <c r="H1323" s="23" t="s">
        <v>226</v>
      </c>
      <c r="I1323" s="24" t="s">
        <v>225</v>
      </c>
      <c r="J1323" s="23" t="s">
        <v>226</v>
      </c>
      <c r="K1323" s="24" t="s">
        <v>225</v>
      </c>
      <c r="L1323" s="23"/>
      <c r="M1323" s="26" t="s">
        <v>654</v>
      </c>
      <c r="N1323" s="24">
        <v>2022</v>
      </c>
    </row>
    <row r="1324" spans="1:14">
      <c r="A1324" s="24">
        <v>2021</v>
      </c>
      <c r="B1324" s="24" t="s">
        <v>136</v>
      </c>
      <c r="C1324" s="24" t="s">
        <v>137</v>
      </c>
      <c r="D1324" s="24" t="s">
        <v>143</v>
      </c>
      <c r="E1324" s="23">
        <v>2</v>
      </c>
      <c r="F1324" s="24" t="s">
        <v>211</v>
      </c>
      <c r="G1324" s="24" t="s">
        <v>225</v>
      </c>
      <c r="H1324" s="23" t="s">
        <v>226</v>
      </c>
      <c r="I1324" s="24" t="s">
        <v>225</v>
      </c>
      <c r="J1324" s="23" t="s">
        <v>226</v>
      </c>
      <c r="K1324" s="24" t="s">
        <v>225</v>
      </c>
      <c r="L1324" s="23"/>
      <c r="M1324" s="26" t="s">
        <v>654</v>
      </c>
      <c r="N1324" s="24">
        <v>2022</v>
      </c>
    </row>
    <row r="1325" spans="1:14">
      <c r="A1325" s="24">
        <v>2021</v>
      </c>
      <c r="B1325" s="24" t="s">
        <v>136</v>
      </c>
      <c r="C1325" s="24" t="s">
        <v>685</v>
      </c>
      <c r="D1325" s="24" t="s">
        <v>485</v>
      </c>
      <c r="E1325" s="23">
        <v>3</v>
      </c>
      <c r="F1325" s="24" t="s">
        <v>207</v>
      </c>
      <c r="G1325" s="24" t="s">
        <v>225</v>
      </c>
      <c r="H1325" s="23" t="s">
        <v>226</v>
      </c>
      <c r="I1325" s="24" t="s">
        <v>225</v>
      </c>
      <c r="J1325" s="23" t="s">
        <v>226</v>
      </c>
      <c r="K1325" s="24" t="s">
        <v>225</v>
      </c>
      <c r="L1325" s="23"/>
      <c r="M1325" s="26" t="s">
        <v>655</v>
      </c>
      <c r="N1325" s="24">
        <v>2022</v>
      </c>
    </row>
    <row r="1326" spans="1:14">
      <c r="A1326" s="24">
        <v>2021</v>
      </c>
      <c r="B1326" s="24" t="s">
        <v>136</v>
      </c>
      <c r="C1326" s="24" t="s">
        <v>189</v>
      </c>
      <c r="D1326" s="24" t="s">
        <v>259</v>
      </c>
      <c r="E1326" s="28">
        <v>4</v>
      </c>
      <c r="F1326" s="24" t="s">
        <v>211</v>
      </c>
      <c r="G1326" s="24" t="s">
        <v>225</v>
      </c>
      <c r="H1326" s="23" t="s">
        <v>225</v>
      </c>
      <c r="I1326" s="24" t="s">
        <v>226</v>
      </c>
      <c r="J1326" s="23" t="s">
        <v>226</v>
      </c>
      <c r="K1326" s="24" t="s">
        <v>225</v>
      </c>
      <c r="L1326" s="23"/>
      <c r="M1326" s="26" t="s">
        <v>655</v>
      </c>
      <c r="N1326" s="24">
        <v>2022</v>
      </c>
    </row>
    <row r="1327" spans="1:14">
      <c r="A1327" s="24">
        <v>2021</v>
      </c>
      <c r="B1327" s="24" t="s">
        <v>4</v>
      </c>
      <c r="C1327" s="24" t="s">
        <v>5</v>
      </c>
      <c r="D1327" s="24" t="s">
        <v>9</v>
      </c>
      <c r="E1327" s="23">
        <v>2</v>
      </c>
      <c r="F1327" s="24" t="s">
        <v>207</v>
      </c>
      <c r="G1327" s="24" t="s">
        <v>225</v>
      </c>
      <c r="H1327" s="23" t="s">
        <v>226</v>
      </c>
      <c r="I1327" s="24" t="s">
        <v>225</v>
      </c>
      <c r="J1327" s="23" t="s">
        <v>226</v>
      </c>
      <c r="K1327" s="24" t="s">
        <v>225</v>
      </c>
      <c r="L1327" s="23"/>
      <c r="M1327" s="26" t="s">
        <v>656</v>
      </c>
      <c r="N1327" s="24">
        <v>2022</v>
      </c>
    </row>
    <row r="1328" spans="1:14">
      <c r="A1328" s="24">
        <v>2021</v>
      </c>
      <c r="B1328" s="24" t="s">
        <v>78</v>
      </c>
      <c r="C1328" s="24" t="s">
        <v>681</v>
      </c>
      <c r="D1328" s="24" t="s">
        <v>200</v>
      </c>
      <c r="E1328" s="23">
        <v>6</v>
      </c>
      <c r="F1328" s="24" t="s">
        <v>207</v>
      </c>
      <c r="G1328" s="24" t="s">
        <v>225</v>
      </c>
      <c r="H1328" s="23" t="s">
        <v>226</v>
      </c>
      <c r="I1328" s="24" t="s">
        <v>225</v>
      </c>
      <c r="J1328" s="23" t="s">
        <v>226</v>
      </c>
      <c r="K1328" s="24" t="s">
        <v>225</v>
      </c>
      <c r="L1328" s="23"/>
      <c r="M1328" s="26" t="s">
        <v>657</v>
      </c>
      <c r="N1328" s="24">
        <v>2022</v>
      </c>
    </row>
    <row r="1329" spans="1:14">
      <c r="A1329" s="24">
        <v>2021</v>
      </c>
      <c r="B1329" s="24" t="s">
        <v>78</v>
      </c>
      <c r="C1329" s="24" t="s">
        <v>681</v>
      </c>
      <c r="D1329" s="24" t="s">
        <v>402</v>
      </c>
      <c r="E1329" s="23">
        <v>12</v>
      </c>
      <c r="F1329" s="24" t="s">
        <v>207</v>
      </c>
      <c r="G1329" s="24" t="s">
        <v>225</v>
      </c>
      <c r="H1329" s="23" t="s">
        <v>226</v>
      </c>
      <c r="I1329" s="24" t="s">
        <v>226</v>
      </c>
      <c r="J1329" s="23" t="s">
        <v>226</v>
      </c>
      <c r="K1329" s="24" t="s">
        <v>225</v>
      </c>
      <c r="L1329" s="23"/>
      <c r="M1329" s="26" t="s">
        <v>657</v>
      </c>
      <c r="N1329" s="24">
        <v>2022</v>
      </c>
    </row>
    <row r="1330" spans="1:14">
      <c r="A1330" s="24">
        <v>2021</v>
      </c>
      <c r="B1330" s="24" t="s">
        <v>4</v>
      </c>
      <c r="C1330" s="24" t="s">
        <v>23</v>
      </c>
      <c r="D1330" s="24" t="s">
        <v>27</v>
      </c>
      <c r="E1330" s="23">
        <v>29</v>
      </c>
      <c r="F1330" s="24" t="s">
        <v>207</v>
      </c>
      <c r="G1330" s="24" t="s">
        <v>225</v>
      </c>
      <c r="H1330" s="23" t="s">
        <v>226</v>
      </c>
      <c r="I1330" s="24" t="s">
        <v>225</v>
      </c>
      <c r="J1330" s="23" t="s">
        <v>226</v>
      </c>
      <c r="K1330" s="24" t="s">
        <v>225</v>
      </c>
      <c r="L1330" s="23"/>
      <c r="M1330" s="26" t="s">
        <v>657</v>
      </c>
      <c r="N1330" s="24">
        <v>2022</v>
      </c>
    </row>
    <row r="1331" spans="1:14">
      <c r="A1331" s="24">
        <v>2021</v>
      </c>
      <c r="B1331" s="24" t="s">
        <v>136</v>
      </c>
      <c r="C1331" s="24" t="s">
        <v>682</v>
      </c>
      <c r="D1331" s="24" t="s">
        <v>167</v>
      </c>
      <c r="E1331" s="23">
        <v>4</v>
      </c>
      <c r="F1331" s="24" t="s">
        <v>211</v>
      </c>
      <c r="G1331" s="24" t="s">
        <v>225</v>
      </c>
      <c r="H1331" s="23" t="s">
        <v>226</v>
      </c>
      <c r="I1331" s="24" t="s">
        <v>226</v>
      </c>
      <c r="J1331" s="23" t="s">
        <v>226</v>
      </c>
      <c r="K1331" s="24" t="s">
        <v>225</v>
      </c>
      <c r="L1331" s="23"/>
      <c r="M1331" s="26" t="s">
        <v>657</v>
      </c>
      <c r="N1331" s="24">
        <v>2022</v>
      </c>
    </row>
    <row r="1332" spans="1:14">
      <c r="A1332" s="24">
        <v>2021</v>
      </c>
      <c r="B1332" s="24" t="s">
        <v>4</v>
      </c>
      <c r="C1332" s="24" t="s">
        <v>23</v>
      </c>
      <c r="D1332" s="24" t="s">
        <v>27</v>
      </c>
      <c r="E1332" s="23">
        <v>18</v>
      </c>
      <c r="F1332" s="24" t="s">
        <v>207</v>
      </c>
      <c r="G1332" s="24" t="s">
        <v>225</v>
      </c>
      <c r="H1332" s="23" t="s">
        <v>226</v>
      </c>
      <c r="I1332" s="24" t="s">
        <v>225</v>
      </c>
      <c r="J1332" s="23" t="s">
        <v>226</v>
      </c>
      <c r="K1332" s="24" t="s">
        <v>225</v>
      </c>
      <c r="L1332" s="23"/>
      <c r="M1332" s="26" t="s">
        <v>657</v>
      </c>
      <c r="N1332" s="24">
        <v>2022</v>
      </c>
    </row>
    <row r="1333" spans="1:14">
      <c r="A1333" s="24">
        <v>2021</v>
      </c>
      <c r="B1333" s="24" t="s">
        <v>4</v>
      </c>
      <c r="C1333" s="24" t="s">
        <v>23</v>
      </c>
      <c r="D1333" s="24" t="s">
        <v>407</v>
      </c>
      <c r="E1333" s="23">
        <v>2</v>
      </c>
      <c r="F1333" s="24" t="s">
        <v>211</v>
      </c>
      <c r="G1333" s="24" t="s">
        <v>225</v>
      </c>
      <c r="H1333" s="23" t="s">
        <v>226</v>
      </c>
      <c r="I1333" s="24" t="s">
        <v>226</v>
      </c>
      <c r="J1333" s="23" t="s">
        <v>226</v>
      </c>
      <c r="K1333" s="24" t="s">
        <v>225</v>
      </c>
      <c r="L1333" s="23"/>
      <c r="M1333" s="26" t="s">
        <v>657</v>
      </c>
      <c r="N1333" s="24">
        <v>2022</v>
      </c>
    </row>
    <row r="1334" spans="1:14">
      <c r="A1334" s="24">
        <v>2021</v>
      </c>
      <c r="B1334" s="24" t="s">
        <v>136</v>
      </c>
      <c r="C1334" s="24" t="s">
        <v>137</v>
      </c>
      <c r="D1334" s="24" t="s">
        <v>141</v>
      </c>
      <c r="E1334" s="23">
        <v>3</v>
      </c>
      <c r="F1334" s="24" t="s">
        <v>211</v>
      </c>
      <c r="G1334" s="24" t="s">
        <v>225</v>
      </c>
      <c r="H1334" s="23" t="s">
        <v>226</v>
      </c>
      <c r="I1334" s="24" t="s">
        <v>226</v>
      </c>
      <c r="J1334" s="23" t="s">
        <v>226</v>
      </c>
      <c r="K1334" s="24" t="s">
        <v>225</v>
      </c>
      <c r="L1334" s="23"/>
      <c r="M1334" s="26" t="s">
        <v>657</v>
      </c>
      <c r="N1334" s="24">
        <v>2022</v>
      </c>
    </row>
    <row r="1335" spans="1:14">
      <c r="A1335" s="24">
        <v>2021</v>
      </c>
      <c r="B1335" s="24" t="s">
        <v>78</v>
      </c>
      <c r="C1335" s="24" t="s">
        <v>80</v>
      </c>
      <c r="D1335" s="24" t="s">
        <v>85</v>
      </c>
      <c r="E1335" s="23"/>
      <c r="F1335" s="24" t="s">
        <v>207</v>
      </c>
      <c r="G1335" s="24" t="s">
        <v>225</v>
      </c>
      <c r="H1335" s="23" t="s">
        <v>225</v>
      </c>
      <c r="I1335" s="24" t="s">
        <v>225</v>
      </c>
      <c r="J1335" s="23" t="s">
        <v>226</v>
      </c>
      <c r="K1335" s="24" t="s">
        <v>225</v>
      </c>
      <c r="L1335" s="23"/>
      <c r="M1335" s="26" t="s">
        <v>657</v>
      </c>
      <c r="N1335" s="24">
        <v>2022</v>
      </c>
    </row>
    <row r="1336" spans="1:14">
      <c r="A1336" s="24">
        <v>2021</v>
      </c>
      <c r="B1336" s="24" t="s">
        <v>136</v>
      </c>
      <c r="C1336" s="24" t="s">
        <v>684</v>
      </c>
      <c r="D1336" s="24" t="s">
        <v>658</v>
      </c>
      <c r="E1336" s="23">
        <v>1</v>
      </c>
      <c r="F1336" s="24" t="s">
        <v>211</v>
      </c>
      <c r="G1336" s="24" t="s">
        <v>225</v>
      </c>
      <c r="H1336" s="23" t="s">
        <v>226</v>
      </c>
      <c r="I1336" s="24" t="s">
        <v>226</v>
      </c>
      <c r="J1336" s="23" t="s">
        <v>226</v>
      </c>
      <c r="K1336" s="24" t="s">
        <v>225</v>
      </c>
      <c r="L1336" s="23"/>
      <c r="M1336" s="26" t="s">
        <v>657</v>
      </c>
      <c r="N1336" s="24">
        <v>2022</v>
      </c>
    </row>
    <row r="1337" spans="1:14">
      <c r="A1337" s="24">
        <v>2021</v>
      </c>
      <c r="B1337" s="24" t="s">
        <v>136</v>
      </c>
      <c r="C1337" s="24" t="s">
        <v>137</v>
      </c>
      <c r="D1337" s="24" t="s">
        <v>140</v>
      </c>
      <c r="E1337" s="23">
        <v>1</v>
      </c>
      <c r="F1337" s="24" t="s">
        <v>211</v>
      </c>
      <c r="G1337" s="24" t="s">
        <v>225</v>
      </c>
      <c r="H1337" s="23" t="s">
        <v>226</v>
      </c>
      <c r="I1337" s="24" t="s">
        <v>225</v>
      </c>
      <c r="J1337" s="23" t="s">
        <v>226</v>
      </c>
      <c r="K1337" s="24" t="s">
        <v>225</v>
      </c>
      <c r="L1337" s="23"/>
      <c r="M1337" s="26" t="s">
        <v>657</v>
      </c>
      <c r="N1337" s="24">
        <v>2022</v>
      </c>
    </row>
    <row r="1338" spans="1:14">
      <c r="A1338" s="24">
        <v>2021</v>
      </c>
      <c r="B1338" s="24" t="s">
        <v>78</v>
      </c>
      <c r="C1338" s="24" t="s">
        <v>683</v>
      </c>
      <c r="D1338" s="24" t="s">
        <v>114</v>
      </c>
      <c r="E1338" s="23">
        <v>13</v>
      </c>
      <c r="F1338" s="24" t="s">
        <v>211</v>
      </c>
      <c r="G1338" s="24" t="s">
        <v>225</v>
      </c>
      <c r="H1338" s="23" t="s">
        <v>226</v>
      </c>
      <c r="I1338" s="24" t="s">
        <v>226</v>
      </c>
      <c r="J1338" s="23" t="s">
        <v>226</v>
      </c>
      <c r="K1338" s="24" t="s">
        <v>225</v>
      </c>
      <c r="L1338" s="23"/>
      <c r="M1338" s="26" t="s">
        <v>657</v>
      </c>
      <c r="N1338" s="24">
        <v>2022</v>
      </c>
    </row>
    <row r="1339" spans="1:14">
      <c r="A1339" s="24">
        <v>2021</v>
      </c>
      <c r="B1339" s="24" t="s">
        <v>4</v>
      </c>
      <c r="C1339" s="24" t="s">
        <v>23</v>
      </c>
      <c r="D1339" s="24" t="s">
        <v>25</v>
      </c>
      <c r="E1339" s="23">
        <v>1</v>
      </c>
      <c r="F1339" s="24" t="s">
        <v>211</v>
      </c>
      <c r="G1339" s="24" t="s">
        <v>225</v>
      </c>
      <c r="H1339" s="23" t="s">
        <v>226</v>
      </c>
      <c r="I1339" s="24" t="s">
        <v>225</v>
      </c>
      <c r="J1339" s="23" t="s">
        <v>226</v>
      </c>
      <c r="K1339" s="24" t="s">
        <v>225</v>
      </c>
      <c r="L1339" s="23"/>
      <c r="M1339" s="26" t="s">
        <v>657</v>
      </c>
      <c r="N1339" s="24">
        <v>2022</v>
      </c>
    </row>
    <row r="1340" spans="1:14">
      <c r="A1340" s="24">
        <v>2021</v>
      </c>
      <c r="B1340" s="24" t="s">
        <v>78</v>
      </c>
      <c r="C1340" s="24" t="s">
        <v>119</v>
      </c>
      <c r="D1340" s="24" t="s">
        <v>121</v>
      </c>
      <c r="E1340" s="23">
        <v>6</v>
      </c>
      <c r="F1340" s="24" t="s">
        <v>207</v>
      </c>
      <c r="G1340" s="24" t="s">
        <v>225</v>
      </c>
      <c r="H1340" s="23" t="s">
        <v>226</v>
      </c>
      <c r="I1340" s="24" t="s">
        <v>226</v>
      </c>
      <c r="J1340" s="23" t="s">
        <v>226</v>
      </c>
      <c r="K1340" s="24" t="s">
        <v>225</v>
      </c>
      <c r="L1340" s="23"/>
      <c r="M1340" s="26" t="s">
        <v>659</v>
      </c>
      <c r="N1340" s="24">
        <v>2022</v>
      </c>
    </row>
    <row r="1341" spans="1:14">
      <c r="A1341" s="24">
        <v>2021</v>
      </c>
      <c r="B1341" s="24" t="s">
        <v>78</v>
      </c>
      <c r="C1341" s="24" t="s">
        <v>80</v>
      </c>
      <c r="D1341" s="24" t="s">
        <v>282</v>
      </c>
      <c r="E1341" s="23">
        <v>5</v>
      </c>
      <c r="F1341" s="24" t="s">
        <v>207</v>
      </c>
      <c r="G1341" s="23" t="s">
        <v>226</v>
      </c>
      <c r="H1341" s="23" t="s">
        <v>226</v>
      </c>
      <c r="I1341" s="24" t="s">
        <v>226</v>
      </c>
      <c r="J1341" s="23" t="s">
        <v>226</v>
      </c>
      <c r="K1341" s="24" t="s">
        <v>225</v>
      </c>
      <c r="L1341" s="23"/>
      <c r="M1341" s="26" t="s">
        <v>660</v>
      </c>
      <c r="N1341" s="24">
        <v>2022</v>
      </c>
    </row>
    <row r="1342" spans="1:14">
      <c r="A1342" s="24">
        <v>2021</v>
      </c>
      <c r="B1342" s="24" t="s">
        <v>136</v>
      </c>
      <c r="C1342" s="24" t="s">
        <v>176</v>
      </c>
      <c r="D1342" s="24" t="s">
        <v>184</v>
      </c>
      <c r="E1342" s="23"/>
      <c r="F1342" s="24" t="s">
        <v>211</v>
      </c>
      <c r="G1342" s="24" t="s">
        <v>225</v>
      </c>
      <c r="H1342" s="23" t="s">
        <v>225</v>
      </c>
      <c r="I1342" s="24" t="s">
        <v>225</v>
      </c>
      <c r="J1342" s="23" t="s">
        <v>226</v>
      </c>
      <c r="K1342" s="24" t="s">
        <v>225</v>
      </c>
      <c r="L1342" s="23"/>
      <c r="M1342" s="26" t="s">
        <v>661</v>
      </c>
      <c r="N1342" s="24">
        <v>2022</v>
      </c>
    </row>
    <row r="1343" spans="1:14">
      <c r="A1343" s="24">
        <v>2021</v>
      </c>
      <c r="B1343" s="24" t="s">
        <v>136</v>
      </c>
      <c r="C1343" s="24" t="s">
        <v>176</v>
      </c>
      <c r="D1343" s="24" t="s">
        <v>177</v>
      </c>
      <c r="E1343" s="23"/>
      <c r="F1343" s="24" t="s">
        <v>211</v>
      </c>
      <c r="G1343" s="24" t="s">
        <v>225</v>
      </c>
      <c r="H1343" s="23" t="s">
        <v>225</v>
      </c>
      <c r="I1343" s="24" t="s">
        <v>225</v>
      </c>
      <c r="J1343" s="23" t="s">
        <v>226</v>
      </c>
      <c r="K1343" s="24" t="s">
        <v>225</v>
      </c>
      <c r="L1343" s="23"/>
      <c r="M1343" s="26" t="s">
        <v>661</v>
      </c>
      <c r="N1343" s="24">
        <v>2022</v>
      </c>
    </row>
    <row r="1344" spans="1:14">
      <c r="A1344" s="24">
        <v>2021</v>
      </c>
      <c r="B1344" s="24" t="s">
        <v>136</v>
      </c>
      <c r="C1344" s="24" t="s">
        <v>168</v>
      </c>
      <c r="D1344" s="24" t="s">
        <v>314</v>
      </c>
      <c r="E1344" s="23">
        <v>1</v>
      </c>
      <c r="F1344" s="24" t="s">
        <v>211</v>
      </c>
      <c r="G1344" s="24" t="s">
        <v>225</v>
      </c>
      <c r="H1344" s="23" t="s">
        <v>226</v>
      </c>
      <c r="I1344" s="24" t="s">
        <v>225</v>
      </c>
      <c r="J1344" s="23" t="s">
        <v>226</v>
      </c>
      <c r="K1344" s="24" t="s">
        <v>225</v>
      </c>
      <c r="L1344" s="23"/>
      <c r="M1344" s="25">
        <v>44653</v>
      </c>
      <c r="N1344" s="24">
        <v>2022</v>
      </c>
    </row>
    <row r="1345" spans="1:14">
      <c r="A1345" s="24">
        <v>2021</v>
      </c>
      <c r="B1345" s="24" t="s">
        <v>4</v>
      </c>
      <c r="C1345" s="24" t="s">
        <v>5</v>
      </c>
      <c r="D1345" s="24" t="s">
        <v>7</v>
      </c>
      <c r="E1345" s="23">
        <v>4</v>
      </c>
      <c r="F1345" s="24" t="s">
        <v>207</v>
      </c>
      <c r="G1345" s="24" t="s">
        <v>225</v>
      </c>
      <c r="H1345" s="23" t="s">
        <v>226</v>
      </c>
      <c r="I1345" s="24" t="s">
        <v>225</v>
      </c>
      <c r="J1345" s="23" t="s">
        <v>226</v>
      </c>
      <c r="K1345" s="24" t="s">
        <v>225</v>
      </c>
      <c r="L1345" s="23"/>
      <c r="M1345" s="25">
        <v>44653</v>
      </c>
      <c r="N1345" s="24">
        <v>2022</v>
      </c>
    </row>
    <row r="1346" spans="1:14">
      <c r="A1346" s="24">
        <v>2021</v>
      </c>
      <c r="B1346" s="24" t="s">
        <v>78</v>
      </c>
      <c r="C1346" s="24" t="s">
        <v>683</v>
      </c>
      <c r="D1346" s="24" t="s">
        <v>115</v>
      </c>
      <c r="E1346" s="23">
        <v>2</v>
      </c>
      <c r="F1346" s="24" t="s">
        <v>207</v>
      </c>
      <c r="G1346" s="24" t="s">
        <v>225</v>
      </c>
      <c r="H1346" s="23" t="s">
        <v>226</v>
      </c>
      <c r="I1346" s="24" t="s">
        <v>225</v>
      </c>
      <c r="J1346" s="23" t="s">
        <v>226</v>
      </c>
      <c r="K1346" s="24" t="s">
        <v>225</v>
      </c>
      <c r="L1346" s="23"/>
      <c r="M1346" s="25">
        <v>44653</v>
      </c>
      <c r="N1346" s="24">
        <v>2022</v>
      </c>
    </row>
    <row r="1347" spans="1:14">
      <c r="A1347" s="24">
        <v>2021</v>
      </c>
      <c r="B1347" s="24" t="s">
        <v>4</v>
      </c>
      <c r="C1347" s="24" t="s">
        <v>23</v>
      </c>
      <c r="D1347" s="24" t="s">
        <v>26</v>
      </c>
      <c r="E1347" s="23">
        <v>2</v>
      </c>
      <c r="F1347" s="24" t="s">
        <v>211</v>
      </c>
      <c r="G1347" s="24" t="s">
        <v>225</v>
      </c>
      <c r="H1347" s="23" t="s">
        <v>226</v>
      </c>
      <c r="I1347" s="24" t="s">
        <v>225</v>
      </c>
      <c r="J1347" s="23" t="s">
        <v>226</v>
      </c>
      <c r="K1347" s="24" t="s">
        <v>225</v>
      </c>
      <c r="L1347" s="23"/>
      <c r="M1347" s="25">
        <v>44653</v>
      </c>
      <c r="N1347" s="24">
        <v>2022</v>
      </c>
    </row>
    <row r="1348" spans="1:14">
      <c r="A1348" s="24">
        <v>2021</v>
      </c>
      <c r="B1348" s="24" t="s">
        <v>78</v>
      </c>
      <c r="C1348" s="24" t="s">
        <v>122</v>
      </c>
      <c r="D1348" s="24" t="s">
        <v>126</v>
      </c>
      <c r="E1348" s="23">
        <v>3</v>
      </c>
      <c r="F1348" s="24" t="s">
        <v>211</v>
      </c>
      <c r="G1348" s="24" t="s">
        <v>225</v>
      </c>
      <c r="H1348" s="23" t="s">
        <v>226</v>
      </c>
      <c r="I1348" s="24" t="s">
        <v>226</v>
      </c>
      <c r="J1348" s="23" t="s">
        <v>226</v>
      </c>
      <c r="K1348" s="24" t="s">
        <v>225</v>
      </c>
      <c r="L1348" s="23"/>
      <c r="M1348" s="25">
        <v>44653</v>
      </c>
      <c r="N1348" s="24">
        <v>2022</v>
      </c>
    </row>
    <row r="1349" spans="1:14">
      <c r="A1349" s="24">
        <v>2021</v>
      </c>
      <c r="B1349" s="24" t="s">
        <v>136</v>
      </c>
      <c r="C1349" s="24" t="s">
        <v>146</v>
      </c>
      <c r="D1349" s="24" t="s">
        <v>326</v>
      </c>
      <c r="E1349" s="23">
        <v>3</v>
      </c>
      <c r="F1349" s="24" t="s">
        <v>207</v>
      </c>
      <c r="G1349" s="24" t="s">
        <v>225</v>
      </c>
      <c r="H1349" s="23" t="s">
        <v>226</v>
      </c>
      <c r="I1349" s="24" t="s">
        <v>225</v>
      </c>
      <c r="J1349" s="23" t="s">
        <v>226</v>
      </c>
      <c r="K1349" s="24" t="s">
        <v>225</v>
      </c>
      <c r="L1349" s="23"/>
      <c r="M1349" s="25">
        <v>44653</v>
      </c>
      <c r="N1349" s="24">
        <v>2022</v>
      </c>
    </row>
    <row r="1350" spans="1:14">
      <c r="A1350" s="24">
        <v>2021</v>
      </c>
      <c r="B1350" s="24" t="s">
        <v>136</v>
      </c>
      <c r="C1350" s="24" t="s">
        <v>137</v>
      </c>
      <c r="D1350" s="24" t="s">
        <v>141</v>
      </c>
      <c r="E1350" s="23">
        <v>5</v>
      </c>
      <c r="F1350" s="24" t="s">
        <v>211</v>
      </c>
      <c r="G1350" s="24" t="s">
        <v>225</v>
      </c>
      <c r="H1350" s="23" t="s">
        <v>226</v>
      </c>
      <c r="I1350" s="24" t="s">
        <v>226</v>
      </c>
      <c r="J1350" s="23" t="s">
        <v>226</v>
      </c>
      <c r="K1350" s="24" t="s">
        <v>225</v>
      </c>
      <c r="L1350" s="23"/>
      <c r="M1350" s="25">
        <v>44653</v>
      </c>
      <c r="N1350" s="24">
        <v>2022</v>
      </c>
    </row>
    <row r="1351" spans="1:14">
      <c r="A1351" s="24">
        <v>2021</v>
      </c>
      <c r="B1351" s="24" t="s">
        <v>78</v>
      </c>
      <c r="C1351" s="24" t="s">
        <v>681</v>
      </c>
      <c r="D1351" s="24" t="s">
        <v>249</v>
      </c>
      <c r="E1351" s="23">
        <v>2</v>
      </c>
      <c r="F1351" s="24" t="s">
        <v>207</v>
      </c>
      <c r="G1351" s="24" t="s">
        <v>225</v>
      </c>
      <c r="H1351" s="23" t="s">
        <v>226</v>
      </c>
      <c r="I1351" s="24" t="s">
        <v>225</v>
      </c>
      <c r="J1351" s="23" t="s">
        <v>226</v>
      </c>
      <c r="K1351" s="24" t="s">
        <v>225</v>
      </c>
      <c r="L1351" s="23"/>
      <c r="M1351" s="25">
        <v>44653</v>
      </c>
      <c r="N1351" s="24">
        <v>2022</v>
      </c>
    </row>
    <row r="1352" spans="1:14">
      <c r="A1352" s="24">
        <v>2021</v>
      </c>
      <c r="B1352" s="24" t="s">
        <v>4</v>
      </c>
      <c r="C1352" s="24" t="s">
        <v>5</v>
      </c>
      <c r="D1352" s="24" t="s">
        <v>6</v>
      </c>
      <c r="E1352" s="23">
        <v>19</v>
      </c>
      <c r="F1352" s="24" t="s">
        <v>211</v>
      </c>
      <c r="G1352" s="24" t="s">
        <v>225</v>
      </c>
      <c r="H1352" s="23" t="s">
        <v>226</v>
      </c>
      <c r="I1352" s="24" t="s">
        <v>225</v>
      </c>
      <c r="J1352" s="23" t="s">
        <v>226</v>
      </c>
      <c r="K1352" s="24" t="s">
        <v>225</v>
      </c>
      <c r="L1352" s="23"/>
      <c r="M1352" s="25">
        <v>44654</v>
      </c>
      <c r="N1352" s="24">
        <v>2022</v>
      </c>
    </row>
    <row r="1353" spans="1:14">
      <c r="A1353" s="24">
        <v>2021</v>
      </c>
      <c r="B1353" s="24" t="s">
        <v>136</v>
      </c>
      <c r="C1353" s="24" t="s">
        <v>176</v>
      </c>
      <c r="D1353" s="24" t="s">
        <v>464</v>
      </c>
      <c r="E1353" s="23">
        <v>18</v>
      </c>
      <c r="F1353" s="24" t="s">
        <v>207</v>
      </c>
      <c r="G1353" s="24" t="s">
        <v>225</v>
      </c>
      <c r="H1353" s="23" t="s">
        <v>226</v>
      </c>
      <c r="I1353" s="24" t="s">
        <v>226</v>
      </c>
      <c r="J1353" s="23" t="s">
        <v>226</v>
      </c>
      <c r="K1353" s="24" t="s">
        <v>225</v>
      </c>
      <c r="L1353" s="23"/>
      <c r="M1353" s="25">
        <v>44654</v>
      </c>
      <c r="N1353" s="24">
        <v>2022</v>
      </c>
    </row>
    <row r="1354" spans="1:14">
      <c r="A1354" s="24">
        <v>2021</v>
      </c>
      <c r="B1354" s="24" t="s">
        <v>4</v>
      </c>
      <c r="C1354" s="24" t="s">
        <v>5</v>
      </c>
      <c r="D1354" s="24" t="s">
        <v>10</v>
      </c>
      <c r="E1354" s="23">
        <v>34</v>
      </c>
      <c r="F1354" s="24" t="s">
        <v>207</v>
      </c>
      <c r="G1354" s="24" t="s">
        <v>225</v>
      </c>
      <c r="H1354" s="23" t="s">
        <v>226</v>
      </c>
      <c r="I1354" s="24" t="s">
        <v>225</v>
      </c>
      <c r="J1354" s="23" t="s">
        <v>226</v>
      </c>
      <c r="K1354" s="24" t="s">
        <v>225</v>
      </c>
      <c r="L1354" s="23"/>
      <c r="M1354" s="25">
        <v>44654</v>
      </c>
      <c r="N1354" s="24">
        <v>2022</v>
      </c>
    </row>
    <row r="1355" spans="1:14">
      <c r="A1355" s="24">
        <v>2021</v>
      </c>
      <c r="B1355" s="24" t="s">
        <v>136</v>
      </c>
      <c r="C1355" s="24" t="s">
        <v>168</v>
      </c>
      <c r="D1355" s="24" t="s">
        <v>170</v>
      </c>
      <c r="E1355" s="23"/>
      <c r="F1355" s="24" t="s">
        <v>211</v>
      </c>
      <c r="G1355" s="23" t="s">
        <v>226</v>
      </c>
      <c r="H1355" s="23" t="s">
        <v>225</v>
      </c>
      <c r="I1355" s="24" t="s">
        <v>225</v>
      </c>
      <c r="J1355" s="23" t="s">
        <v>226</v>
      </c>
      <c r="K1355" s="24" t="s">
        <v>225</v>
      </c>
      <c r="L1355" s="23"/>
      <c r="M1355" s="25">
        <v>44655</v>
      </c>
      <c r="N1355" s="24">
        <v>2022</v>
      </c>
    </row>
    <row r="1356" spans="1:14">
      <c r="A1356" s="24">
        <v>2021</v>
      </c>
      <c r="B1356" s="24" t="s">
        <v>78</v>
      </c>
      <c r="C1356" s="24" t="s">
        <v>681</v>
      </c>
      <c r="D1356" s="24" t="s">
        <v>131</v>
      </c>
      <c r="E1356" s="23">
        <v>1</v>
      </c>
      <c r="F1356" s="24" t="s">
        <v>207</v>
      </c>
      <c r="G1356" s="24" t="s">
        <v>225</v>
      </c>
      <c r="H1356" s="23" t="s">
        <v>226</v>
      </c>
      <c r="I1356" s="24" t="s">
        <v>225</v>
      </c>
      <c r="J1356" s="23" t="s">
        <v>226</v>
      </c>
      <c r="K1356" s="24" t="s">
        <v>225</v>
      </c>
      <c r="L1356" s="23"/>
      <c r="M1356" s="25">
        <v>44656</v>
      </c>
      <c r="N1356" s="24">
        <v>2022</v>
      </c>
    </row>
    <row r="1357" spans="1:14">
      <c r="A1357" s="24">
        <v>2021</v>
      </c>
      <c r="B1357" s="24" t="s">
        <v>136</v>
      </c>
      <c r="C1357" s="24" t="s">
        <v>176</v>
      </c>
      <c r="D1357" s="24" t="s">
        <v>186</v>
      </c>
      <c r="E1357" s="23">
        <v>1</v>
      </c>
      <c r="F1357" s="24" t="s">
        <v>207</v>
      </c>
      <c r="G1357" s="24" t="s">
        <v>225</v>
      </c>
      <c r="H1357" s="23" t="s">
        <v>226</v>
      </c>
      <c r="I1357" s="24" t="s">
        <v>225</v>
      </c>
      <c r="J1357" s="23" t="s">
        <v>226</v>
      </c>
      <c r="K1357" s="24" t="s">
        <v>225</v>
      </c>
      <c r="L1357" s="23"/>
      <c r="M1357" s="26" t="s">
        <v>662</v>
      </c>
      <c r="N1357" s="24">
        <v>2022</v>
      </c>
    </row>
    <row r="1358" spans="1:14">
      <c r="A1358" s="24">
        <v>2021</v>
      </c>
      <c r="B1358" s="24" t="s">
        <v>4</v>
      </c>
      <c r="C1358" s="24" t="s">
        <v>5</v>
      </c>
      <c r="D1358" s="24" t="s">
        <v>8</v>
      </c>
      <c r="E1358" s="23">
        <v>2</v>
      </c>
      <c r="F1358" s="24" t="s">
        <v>207</v>
      </c>
      <c r="G1358" s="24" t="s">
        <v>225</v>
      </c>
      <c r="H1358" s="23" t="s">
        <v>226</v>
      </c>
      <c r="I1358" s="24" t="s">
        <v>225</v>
      </c>
      <c r="J1358" s="23" t="s">
        <v>226</v>
      </c>
      <c r="K1358" s="24" t="s">
        <v>225</v>
      </c>
      <c r="L1358" s="23"/>
      <c r="M1358" s="26" t="s">
        <v>662</v>
      </c>
      <c r="N1358" s="24">
        <v>2022</v>
      </c>
    </row>
    <row r="1359" spans="1:14">
      <c r="A1359" s="24">
        <v>2021</v>
      </c>
      <c r="B1359" s="24" t="s">
        <v>136</v>
      </c>
      <c r="C1359" s="24" t="s">
        <v>176</v>
      </c>
      <c r="D1359" s="24" t="s">
        <v>177</v>
      </c>
      <c r="E1359" s="23"/>
      <c r="F1359" s="24" t="s">
        <v>211</v>
      </c>
      <c r="G1359" s="24" t="s">
        <v>225</v>
      </c>
      <c r="H1359" s="23" t="s">
        <v>225</v>
      </c>
      <c r="I1359" s="24" t="s">
        <v>225</v>
      </c>
      <c r="J1359" s="23" t="s">
        <v>226</v>
      </c>
      <c r="K1359" s="24" t="s">
        <v>225</v>
      </c>
      <c r="L1359" s="23"/>
      <c r="M1359" s="26" t="s">
        <v>663</v>
      </c>
      <c r="N1359" s="24">
        <v>2022</v>
      </c>
    </row>
    <row r="1360" spans="1:14">
      <c r="A1360" s="24">
        <v>2021</v>
      </c>
      <c r="B1360" s="24" t="s">
        <v>136</v>
      </c>
      <c r="C1360" s="24" t="s">
        <v>189</v>
      </c>
      <c r="D1360" s="24" t="s">
        <v>258</v>
      </c>
      <c r="E1360" s="23"/>
      <c r="F1360" s="24" t="s">
        <v>207</v>
      </c>
      <c r="G1360" s="24" t="s">
        <v>225</v>
      </c>
      <c r="H1360" s="23" t="s">
        <v>225</v>
      </c>
      <c r="I1360" s="24" t="s">
        <v>225</v>
      </c>
      <c r="J1360" s="23" t="s">
        <v>226</v>
      </c>
      <c r="K1360" s="24" t="s">
        <v>225</v>
      </c>
      <c r="L1360" s="23"/>
      <c r="M1360" s="26" t="s">
        <v>664</v>
      </c>
      <c r="N1360" s="24">
        <v>2022</v>
      </c>
    </row>
    <row r="1361" spans="1:14">
      <c r="A1361" s="24">
        <v>2021</v>
      </c>
      <c r="B1361" s="24" t="s">
        <v>4</v>
      </c>
      <c r="C1361" s="24" t="s">
        <v>23</v>
      </c>
      <c r="D1361" s="24" t="s">
        <v>27</v>
      </c>
      <c r="E1361" s="23">
        <v>2</v>
      </c>
      <c r="F1361" s="24" t="s">
        <v>211</v>
      </c>
      <c r="G1361" s="24" t="s">
        <v>225</v>
      </c>
      <c r="H1361" s="23" t="s">
        <v>226</v>
      </c>
      <c r="I1361" s="24" t="s">
        <v>225</v>
      </c>
      <c r="J1361" s="23" t="s">
        <v>226</v>
      </c>
      <c r="K1361" s="24" t="s">
        <v>225</v>
      </c>
      <c r="L1361" s="23"/>
      <c r="M1361" s="26" t="s">
        <v>664</v>
      </c>
      <c r="N1361" s="24">
        <v>2022</v>
      </c>
    </row>
    <row r="1362" spans="1:14">
      <c r="A1362" s="24">
        <v>2021</v>
      </c>
      <c r="B1362" s="24" t="s">
        <v>78</v>
      </c>
      <c r="C1362" s="24" t="s">
        <v>681</v>
      </c>
      <c r="D1362" s="24" t="s">
        <v>199</v>
      </c>
      <c r="E1362" s="23">
        <v>7</v>
      </c>
      <c r="F1362" s="24" t="s">
        <v>207</v>
      </c>
      <c r="G1362" s="24" t="s">
        <v>225</v>
      </c>
      <c r="H1362" s="23" t="s">
        <v>226</v>
      </c>
      <c r="I1362" s="24" t="s">
        <v>225</v>
      </c>
      <c r="J1362" s="23" t="s">
        <v>226</v>
      </c>
      <c r="K1362" s="24" t="s">
        <v>225</v>
      </c>
      <c r="L1362" s="23"/>
      <c r="M1362" s="26" t="s">
        <v>664</v>
      </c>
      <c r="N1362" s="24">
        <v>2022</v>
      </c>
    </row>
    <row r="1363" spans="1:14">
      <c r="A1363" s="24">
        <v>2021</v>
      </c>
      <c r="B1363" s="24" t="s">
        <v>136</v>
      </c>
      <c r="C1363" s="24" t="s">
        <v>137</v>
      </c>
      <c r="D1363" s="24" t="s">
        <v>141</v>
      </c>
      <c r="E1363" s="23">
        <v>17</v>
      </c>
      <c r="F1363" s="24" t="s">
        <v>211</v>
      </c>
      <c r="G1363" s="24" t="s">
        <v>225</v>
      </c>
      <c r="H1363" s="23" t="s">
        <v>226</v>
      </c>
      <c r="I1363" s="24" t="s">
        <v>226</v>
      </c>
      <c r="J1363" s="23" t="s">
        <v>226</v>
      </c>
      <c r="K1363" s="24" t="s">
        <v>225</v>
      </c>
      <c r="L1363" s="23"/>
      <c r="M1363" s="26" t="s">
        <v>664</v>
      </c>
      <c r="N1363" s="24">
        <v>2022</v>
      </c>
    </row>
    <row r="1364" spans="1:14">
      <c r="A1364" s="24">
        <v>2021</v>
      </c>
      <c r="B1364" s="24" t="s">
        <v>136</v>
      </c>
      <c r="C1364" s="24" t="s">
        <v>176</v>
      </c>
      <c r="D1364" s="24" t="s">
        <v>177</v>
      </c>
      <c r="E1364" s="23"/>
      <c r="F1364" s="24" t="s">
        <v>211</v>
      </c>
      <c r="G1364" s="24" t="s">
        <v>225</v>
      </c>
      <c r="H1364" s="23" t="s">
        <v>225</v>
      </c>
      <c r="I1364" s="24" t="s">
        <v>225</v>
      </c>
      <c r="J1364" s="23" t="s">
        <v>226</v>
      </c>
      <c r="K1364" s="24" t="s">
        <v>225</v>
      </c>
      <c r="L1364" s="23"/>
      <c r="M1364" s="26" t="s">
        <v>664</v>
      </c>
      <c r="N1364" s="24">
        <v>2022</v>
      </c>
    </row>
    <row r="1365" spans="1:14">
      <c r="A1365" s="24">
        <v>2021</v>
      </c>
      <c r="B1365" s="24" t="s">
        <v>136</v>
      </c>
      <c r="C1365" s="24" t="s">
        <v>137</v>
      </c>
      <c r="D1365" s="24" t="s">
        <v>142</v>
      </c>
      <c r="E1365" s="23">
        <v>4</v>
      </c>
      <c r="F1365" s="24" t="s">
        <v>211</v>
      </c>
      <c r="G1365" s="23" t="s">
        <v>226</v>
      </c>
      <c r="H1365" s="23" t="s">
        <v>226</v>
      </c>
      <c r="I1365" s="24" t="s">
        <v>225</v>
      </c>
      <c r="J1365" s="23" t="s">
        <v>226</v>
      </c>
      <c r="K1365" s="24" t="s">
        <v>225</v>
      </c>
      <c r="L1365" s="23"/>
      <c r="M1365" s="26" t="s">
        <v>664</v>
      </c>
      <c r="N1365" s="24">
        <v>2022</v>
      </c>
    </row>
    <row r="1366" spans="1:14">
      <c r="A1366" s="24">
        <v>2021</v>
      </c>
      <c r="B1366" s="24" t="s">
        <v>4</v>
      </c>
      <c r="C1366" s="24" t="s">
        <v>14</v>
      </c>
      <c r="D1366" s="24" t="s">
        <v>16</v>
      </c>
      <c r="E1366" s="23"/>
      <c r="F1366" s="24" t="s">
        <v>211</v>
      </c>
      <c r="G1366" s="24" t="s">
        <v>225</v>
      </c>
      <c r="H1366" s="23" t="s">
        <v>225</v>
      </c>
      <c r="I1366" s="24" t="s">
        <v>225</v>
      </c>
      <c r="J1366" s="23" t="s">
        <v>226</v>
      </c>
      <c r="K1366" s="24" t="s">
        <v>225</v>
      </c>
      <c r="L1366" s="23"/>
      <c r="M1366" s="26" t="s">
        <v>665</v>
      </c>
      <c r="N1366" s="24">
        <v>2022</v>
      </c>
    </row>
    <row r="1367" spans="1:14">
      <c r="A1367" s="24">
        <v>2021</v>
      </c>
      <c r="B1367" s="24" t="s">
        <v>136</v>
      </c>
      <c r="C1367" s="24" t="s">
        <v>686</v>
      </c>
      <c r="D1367" s="24" t="s">
        <v>592</v>
      </c>
      <c r="E1367" s="23">
        <v>5</v>
      </c>
      <c r="F1367" s="24" t="s">
        <v>211</v>
      </c>
      <c r="G1367" s="24" t="s">
        <v>225</v>
      </c>
      <c r="H1367" s="23" t="s">
        <v>226</v>
      </c>
      <c r="I1367" s="24" t="s">
        <v>225</v>
      </c>
      <c r="J1367" s="23" t="s">
        <v>226</v>
      </c>
      <c r="K1367" s="24" t="s">
        <v>225</v>
      </c>
      <c r="L1367" s="23"/>
      <c r="M1367" s="26" t="s">
        <v>666</v>
      </c>
      <c r="N1367" s="24">
        <v>2022</v>
      </c>
    </row>
    <row r="1368" spans="1:14">
      <c r="A1368" s="24">
        <v>2021</v>
      </c>
      <c r="B1368" s="24" t="s">
        <v>4</v>
      </c>
      <c r="C1368" s="24" t="s">
        <v>18</v>
      </c>
      <c r="D1368" s="24" t="s">
        <v>22</v>
      </c>
      <c r="E1368" s="23">
        <v>1</v>
      </c>
      <c r="F1368" s="24" t="s">
        <v>211</v>
      </c>
      <c r="G1368" s="24" t="s">
        <v>225</v>
      </c>
      <c r="H1368" s="23" t="s">
        <v>226</v>
      </c>
      <c r="I1368" s="24" t="s">
        <v>225</v>
      </c>
      <c r="J1368" s="23" t="s">
        <v>226</v>
      </c>
      <c r="K1368" s="24" t="s">
        <v>225</v>
      </c>
      <c r="L1368" s="23"/>
      <c r="M1368" s="26" t="s">
        <v>666</v>
      </c>
      <c r="N1368" s="24">
        <v>2022</v>
      </c>
    </row>
    <row r="1369" spans="1:14">
      <c r="A1369" s="24">
        <v>2021</v>
      </c>
      <c r="B1369" s="24" t="s">
        <v>4</v>
      </c>
      <c r="C1369" s="24" t="s">
        <v>203</v>
      </c>
      <c r="D1369" s="24" t="s">
        <v>40</v>
      </c>
      <c r="E1369" s="23">
        <v>1</v>
      </c>
      <c r="F1369" s="24" t="s">
        <v>211</v>
      </c>
      <c r="G1369" s="24" t="s">
        <v>225</v>
      </c>
      <c r="H1369" s="23" t="s">
        <v>226</v>
      </c>
      <c r="I1369" s="24" t="s">
        <v>225</v>
      </c>
      <c r="J1369" s="23" t="s">
        <v>226</v>
      </c>
      <c r="K1369" s="24" t="s">
        <v>225</v>
      </c>
      <c r="L1369" s="23"/>
      <c r="M1369" s="26" t="s">
        <v>666</v>
      </c>
      <c r="N1369" s="24">
        <v>2022</v>
      </c>
    </row>
    <row r="1370" spans="1:14">
      <c r="A1370" s="24">
        <v>2021</v>
      </c>
      <c r="B1370" s="24" t="s">
        <v>136</v>
      </c>
      <c r="C1370" s="24" t="s">
        <v>152</v>
      </c>
      <c r="D1370" s="24" t="s">
        <v>159</v>
      </c>
      <c r="E1370" s="23"/>
      <c r="F1370" s="24" t="s">
        <v>207</v>
      </c>
      <c r="G1370" s="23" t="s">
        <v>226</v>
      </c>
      <c r="H1370" s="23" t="s">
        <v>225</v>
      </c>
      <c r="I1370" s="24" t="s">
        <v>225</v>
      </c>
      <c r="J1370" s="23" t="s">
        <v>226</v>
      </c>
      <c r="K1370" s="24" t="s">
        <v>225</v>
      </c>
      <c r="L1370" s="23"/>
      <c r="M1370" s="26" t="s">
        <v>666</v>
      </c>
      <c r="N1370" s="24">
        <v>2022</v>
      </c>
    </row>
    <row r="1371" spans="1:14">
      <c r="A1371" s="24">
        <v>2021</v>
      </c>
      <c r="B1371" s="24" t="s">
        <v>4</v>
      </c>
      <c r="C1371" s="24" t="s">
        <v>5</v>
      </c>
      <c r="D1371" s="24" t="s">
        <v>7</v>
      </c>
      <c r="E1371" s="23">
        <v>6</v>
      </c>
      <c r="F1371" s="24" t="s">
        <v>211</v>
      </c>
      <c r="G1371" s="24" t="s">
        <v>225</v>
      </c>
      <c r="H1371" s="23" t="s">
        <v>226</v>
      </c>
      <c r="I1371" s="24" t="s">
        <v>225</v>
      </c>
      <c r="J1371" s="23" t="s">
        <v>226</v>
      </c>
      <c r="K1371" s="24" t="s">
        <v>225</v>
      </c>
      <c r="L1371" s="23"/>
      <c r="M1371" s="26" t="s">
        <v>667</v>
      </c>
      <c r="N1371" s="24">
        <v>2022</v>
      </c>
    </row>
    <row r="1372" spans="1:14">
      <c r="A1372" s="24">
        <v>2021</v>
      </c>
      <c r="B1372" s="24" t="s">
        <v>78</v>
      </c>
      <c r="C1372" s="24" t="s">
        <v>681</v>
      </c>
      <c r="D1372" s="24" t="s">
        <v>198</v>
      </c>
      <c r="E1372" s="23">
        <v>6</v>
      </c>
      <c r="F1372" s="24" t="s">
        <v>207</v>
      </c>
      <c r="G1372" s="24" t="s">
        <v>225</v>
      </c>
      <c r="H1372" s="23" t="s">
        <v>226</v>
      </c>
      <c r="I1372" s="24" t="s">
        <v>225</v>
      </c>
      <c r="J1372" s="23" t="s">
        <v>226</v>
      </c>
      <c r="K1372" s="24" t="s">
        <v>225</v>
      </c>
      <c r="L1372" s="23"/>
      <c r="M1372" s="26" t="s">
        <v>668</v>
      </c>
      <c r="N1372" s="24">
        <v>2022</v>
      </c>
    </row>
    <row r="1373" spans="1:14">
      <c r="A1373" s="24">
        <v>2021</v>
      </c>
      <c r="B1373" s="24" t="s">
        <v>136</v>
      </c>
      <c r="C1373" s="24" t="s">
        <v>137</v>
      </c>
      <c r="D1373" s="24" t="s">
        <v>143</v>
      </c>
      <c r="E1373" s="23">
        <v>1</v>
      </c>
      <c r="F1373" s="24" t="s">
        <v>207</v>
      </c>
      <c r="G1373" s="24" t="s">
        <v>225</v>
      </c>
      <c r="H1373" s="23" t="s">
        <v>226</v>
      </c>
      <c r="I1373" s="24" t="s">
        <v>225</v>
      </c>
      <c r="J1373" s="23" t="s">
        <v>226</v>
      </c>
      <c r="K1373" s="24" t="s">
        <v>225</v>
      </c>
      <c r="L1373" s="23"/>
      <c r="M1373" s="26" t="s">
        <v>669</v>
      </c>
      <c r="N1373" s="24">
        <v>2022</v>
      </c>
    </row>
    <row r="1374" spans="1:14">
      <c r="A1374" s="24">
        <v>2021</v>
      </c>
      <c r="B1374" s="24" t="s">
        <v>136</v>
      </c>
      <c r="C1374" s="24" t="s">
        <v>168</v>
      </c>
      <c r="D1374" s="24" t="s">
        <v>314</v>
      </c>
      <c r="E1374" s="23"/>
      <c r="F1374" s="24" t="s">
        <v>211</v>
      </c>
      <c r="G1374" s="24" t="s">
        <v>225</v>
      </c>
      <c r="H1374" s="23" t="s">
        <v>225</v>
      </c>
      <c r="I1374" s="24" t="s">
        <v>225</v>
      </c>
      <c r="J1374" s="23" t="s">
        <v>226</v>
      </c>
      <c r="K1374" s="24" t="s">
        <v>225</v>
      </c>
      <c r="L1374" s="23"/>
      <c r="M1374" s="26" t="s">
        <v>670</v>
      </c>
      <c r="N1374" s="24">
        <v>2022</v>
      </c>
    </row>
    <row r="1375" spans="1:14">
      <c r="A1375" s="24">
        <v>2021</v>
      </c>
      <c r="B1375" s="24" t="s">
        <v>78</v>
      </c>
      <c r="C1375" s="24" t="s">
        <v>122</v>
      </c>
      <c r="D1375" s="24" t="s">
        <v>368</v>
      </c>
      <c r="E1375" s="23"/>
      <c r="F1375" s="24" t="s">
        <v>207</v>
      </c>
      <c r="G1375" s="24" t="s">
        <v>225</v>
      </c>
      <c r="H1375" s="23" t="s">
        <v>225</v>
      </c>
      <c r="I1375" s="24" t="s">
        <v>225</v>
      </c>
      <c r="J1375" s="23" t="s">
        <v>226</v>
      </c>
      <c r="K1375" s="24" t="s">
        <v>225</v>
      </c>
      <c r="L1375" s="23"/>
      <c r="M1375" s="26" t="s">
        <v>670</v>
      </c>
      <c r="N1375" s="24">
        <v>2022</v>
      </c>
    </row>
    <row r="1376" spans="1:14">
      <c r="A1376" s="24">
        <v>2021</v>
      </c>
      <c r="B1376" s="24" t="s">
        <v>4</v>
      </c>
      <c r="C1376" s="24" t="s">
        <v>31</v>
      </c>
      <c r="D1376" s="24" t="s">
        <v>33</v>
      </c>
      <c r="E1376" s="23">
        <v>2</v>
      </c>
      <c r="F1376" s="24" t="s">
        <v>207</v>
      </c>
      <c r="G1376" s="24" t="s">
        <v>225</v>
      </c>
      <c r="H1376" s="23" t="s">
        <v>226</v>
      </c>
      <c r="I1376" s="24" t="s">
        <v>225</v>
      </c>
      <c r="J1376" s="23" t="s">
        <v>226</v>
      </c>
      <c r="K1376" s="24" t="s">
        <v>225</v>
      </c>
      <c r="L1376" s="23"/>
      <c r="M1376" s="26" t="s">
        <v>670</v>
      </c>
      <c r="N1376" s="24">
        <v>2022</v>
      </c>
    </row>
    <row r="1377" spans="1:14">
      <c r="A1377" s="24">
        <v>2021</v>
      </c>
      <c r="B1377" s="24" t="s">
        <v>136</v>
      </c>
      <c r="C1377" s="24" t="s">
        <v>137</v>
      </c>
      <c r="D1377" s="24" t="s">
        <v>145</v>
      </c>
      <c r="E1377" s="23"/>
      <c r="F1377" s="24" t="s">
        <v>207</v>
      </c>
      <c r="G1377" s="24" t="s">
        <v>225</v>
      </c>
      <c r="H1377" s="23" t="s">
        <v>225</v>
      </c>
      <c r="I1377" s="24" t="s">
        <v>225</v>
      </c>
      <c r="J1377" s="23" t="s">
        <v>226</v>
      </c>
      <c r="K1377" s="24" t="s">
        <v>225</v>
      </c>
      <c r="L1377" s="23"/>
      <c r="M1377" s="26" t="s">
        <v>670</v>
      </c>
      <c r="N1377" s="24">
        <v>2022</v>
      </c>
    </row>
    <row r="1378" spans="1:14">
      <c r="A1378" s="24">
        <v>2021</v>
      </c>
      <c r="B1378" s="24" t="s">
        <v>78</v>
      </c>
      <c r="C1378" s="24" t="s">
        <v>681</v>
      </c>
      <c r="D1378" s="24" t="s">
        <v>250</v>
      </c>
      <c r="E1378" s="23">
        <v>9</v>
      </c>
      <c r="F1378" s="24" t="s">
        <v>207</v>
      </c>
      <c r="G1378" s="24" t="s">
        <v>225</v>
      </c>
      <c r="H1378" s="23" t="s">
        <v>226</v>
      </c>
      <c r="I1378" s="24" t="s">
        <v>225</v>
      </c>
      <c r="J1378" s="23" t="s">
        <v>226</v>
      </c>
      <c r="K1378" s="24" t="s">
        <v>225</v>
      </c>
      <c r="L1378" s="23"/>
      <c r="M1378" s="26" t="s">
        <v>670</v>
      </c>
      <c r="N1378" s="24">
        <v>2022</v>
      </c>
    </row>
    <row r="1379" spans="1:14">
      <c r="A1379" s="24">
        <v>2021</v>
      </c>
      <c r="B1379" s="24" t="s">
        <v>4</v>
      </c>
      <c r="C1379" s="24" t="s">
        <v>5</v>
      </c>
      <c r="D1379" s="24" t="s">
        <v>7</v>
      </c>
      <c r="E1379" s="23">
        <v>12</v>
      </c>
      <c r="F1379" s="24" t="s">
        <v>211</v>
      </c>
      <c r="G1379" s="24" t="s">
        <v>225</v>
      </c>
      <c r="H1379" s="23" t="s">
        <v>226</v>
      </c>
      <c r="I1379" s="24" t="s">
        <v>226</v>
      </c>
      <c r="J1379" s="23" t="s">
        <v>226</v>
      </c>
      <c r="K1379" s="24" t="s">
        <v>225</v>
      </c>
      <c r="L1379" s="23"/>
      <c r="M1379" s="25">
        <v>44685</v>
      </c>
      <c r="N1379" s="24">
        <v>2022</v>
      </c>
    </row>
    <row r="1380" spans="1:14">
      <c r="A1380" s="24">
        <v>2021</v>
      </c>
      <c r="B1380" s="24" t="s">
        <v>4</v>
      </c>
      <c r="C1380" s="24" t="s">
        <v>14</v>
      </c>
      <c r="D1380" s="24" t="s">
        <v>15</v>
      </c>
      <c r="E1380" s="23">
        <v>9</v>
      </c>
      <c r="F1380" s="24" t="s">
        <v>211</v>
      </c>
      <c r="G1380" s="24" t="s">
        <v>225</v>
      </c>
      <c r="H1380" s="23" t="s">
        <v>226</v>
      </c>
      <c r="I1380" s="24" t="s">
        <v>226</v>
      </c>
      <c r="J1380" s="23" t="s">
        <v>226</v>
      </c>
      <c r="K1380" s="24" t="s">
        <v>225</v>
      </c>
      <c r="L1380" s="23"/>
      <c r="M1380" s="25">
        <v>44685</v>
      </c>
      <c r="N1380" s="24">
        <v>2022</v>
      </c>
    </row>
    <row r="1381" spans="1:14">
      <c r="A1381" s="24">
        <v>2021</v>
      </c>
      <c r="B1381" s="24" t="s">
        <v>136</v>
      </c>
      <c r="C1381" s="24" t="s">
        <v>137</v>
      </c>
      <c r="D1381" s="24" t="s">
        <v>141</v>
      </c>
      <c r="E1381" s="23">
        <v>11</v>
      </c>
      <c r="F1381" s="24" t="s">
        <v>211</v>
      </c>
      <c r="G1381" s="24" t="s">
        <v>225</v>
      </c>
      <c r="H1381" s="23" t="s">
        <v>226</v>
      </c>
      <c r="I1381" s="24" t="s">
        <v>226</v>
      </c>
      <c r="J1381" s="23" t="s">
        <v>226</v>
      </c>
      <c r="K1381" s="24" t="s">
        <v>225</v>
      </c>
      <c r="L1381" s="23"/>
      <c r="M1381" s="25">
        <v>44685</v>
      </c>
      <c r="N1381" s="24">
        <v>2022</v>
      </c>
    </row>
    <row r="1382" spans="1:14">
      <c r="A1382" s="24">
        <v>2021</v>
      </c>
      <c r="B1382" s="24" t="s">
        <v>4</v>
      </c>
      <c r="C1382" s="24" t="s">
        <v>5</v>
      </c>
      <c r="D1382" s="24" t="s">
        <v>13</v>
      </c>
      <c r="E1382" s="23">
        <v>3</v>
      </c>
      <c r="F1382" s="24" t="s">
        <v>211</v>
      </c>
      <c r="G1382" s="24" t="s">
        <v>225</v>
      </c>
      <c r="H1382" s="23" t="s">
        <v>226</v>
      </c>
      <c r="I1382" s="24" t="s">
        <v>225</v>
      </c>
      <c r="J1382" s="23" t="s">
        <v>226</v>
      </c>
      <c r="K1382" s="24" t="s">
        <v>225</v>
      </c>
      <c r="L1382" s="23"/>
      <c r="M1382" s="25">
        <v>44685</v>
      </c>
      <c r="N1382" s="24">
        <v>2022</v>
      </c>
    </row>
    <row r="1383" spans="1:14">
      <c r="A1383" s="24">
        <v>2021</v>
      </c>
      <c r="B1383" s="24" t="s">
        <v>4</v>
      </c>
      <c r="C1383" s="24" t="s">
        <v>23</v>
      </c>
      <c r="D1383" s="24" t="s">
        <v>27</v>
      </c>
      <c r="E1383" s="23"/>
      <c r="F1383" s="24" t="s">
        <v>211</v>
      </c>
      <c r="G1383" s="24" t="s">
        <v>225</v>
      </c>
      <c r="H1383" s="23" t="s">
        <v>225</v>
      </c>
      <c r="I1383" s="24" t="s">
        <v>225</v>
      </c>
      <c r="J1383" s="23" t="s">
        <v>226</v>
      </c>
      <c r="K1383" s="24" t="s">
        <v>225</v>
      </c>
      <c r="L1383" s="23"/>
      <c r="M1383" s="25">
        <v>44686</v>
      </c>
      <c r="N1383" s="24">
        <v>2022</v>
      </c>
    </row>
    <row r="1384" spans="1:14">
      <c r="A1384" s="24">
        <v>2021</v>
      </c>
      <c r="B1384" s="24" t="s">
        <v>78</v>
      </c>
      <c r="C1384" s="24" t="s">
        <v>681</v>
      </c>
      <c r="D1384" s="24" t="s">
        <v>198</v>
      </c>
      <c r="E1384" s="23">
        <v>1</v>
      </c>
      <c r="F1384" s="24" t="s">
        <v>211</v>
      </c>
      <c r="G1384" s="23" t="s">
        <v>226</v>
      </c>
      <c r="H1384" s="23" t="s">
        <v>226</v>
      </c>
      <c r="I1384" s="24" t="s">
        <v>225</v>
      </c>
      <c r="J1384" s="23" t="s">
        <v>226</v>
      </c>
      <c r="K1384" s="24" t="s">
        <v>225</v>
      </c>
      <c r="L1384" s="23"/>
      <c r="M1384" s="25">
        <v>44686</v>
      </c>
      <c r="N1384" s="24">
        <v>2022</v>
      </c>
    </row>
    <row r="1385" spans="1:14">
      <c r="A1385" s="24">
        <v>2021</v>
      </c>
      <c r="B1385" s="24" t="s">
        <v>136</v>
      </c>
      <c r="C1385" s="24" t="s">
        <v>137</v>
      </c>
      <c r="D1385" s="24" t="s">
        <v>140</v>
      </c>
      <c r="E1385" s="23"/>
      <c r="F1385" s="24" t="s">
        <v>211</v>
      </c>
      <c r="G1385" s="24" t="s">
        <v>225</v>
      </c>
      <c r="H1385" s="23" t="s">
        <v>225</v>
      </c>
      <c r="I1385" s="24" t="s">
        <v>225</v>
      </c>
      <c r="J1385" s="23" t="s">
        <v>226</v>
      </c>
      <c r="K1385" s="24" t="s">
        <v>225</v>
      </c>
      <c r="L1385" s="23"/>
      <c r="M1385" s="26" t="s">
        <v>671</v>
      </c>
      <c r="N1385" s="24">
        <v>2022</v>
      </c>
    </row>
    <row r="1386" spans="1:14">
      <c r="A1386" s="24">
        <v>2021</v>
      </c>
      <c r="B1386" s="24" t="s">
        <v>4</v>
      </c>
      <c r="C1386" s="24" t="s">
        <v>23</v>
      </c>
      <c r="D1386" s="24" t="s">
        <v>24</v>
      </c>
      <c r="E1386" s="23">
        <v>27</v>
      </c>
      <c r="F1386" s="24" t="s">
        <v>207</v>
      </c>
      <c r="G1386" s="24" t="s">
        <v>225</v>
      </c>
      <c r="H1386" s="23" t="s">
        <v>226</v>
      </c>
      <c r="I1386" s="24" t="s">
        <v>225</v>
      </c>
      <c r="J1386" s="23" t="s">
        <v>226</v>
      </c>
      <c r="K1386" s="24" t="s">
        <v>225</v>
      </c>
      <c r="L1386" s="23"/>
      <c r="M1386" s="26" t="s">
        <v>671</v>
      </c>
      <c r="N1386" s="24">
        <v>2022</v>
      </c>
    </row>
    <row r="1387" spans="1:14">
      <c r="A1387" s="24">
        <v>2021</v>
      </c>
      <c r="B1387" s="24" t="s">
        <v>4</v>
      </c>
      <c r="C1387" s="24" t="s">
        <v>18</v>
      </c>
      <c r="D1387" s="24" t="s">
        <v>21</v>
      </c>
      <c r="E1387" s="23">
        <v>2</v>
      </c>
      <c r="F1387" s="24" t="s">
        <v>211</v>
      </c>
      <c r="G1387" s="24" t="s">
        <v>225</v>
      </c>
      <c r="H1387" s="23" t="s">
        <v>226</v>
      </c>
      <c r="I1387" s="24" t="s">
        <v>225</v>
      </c>
      <c r="J1387" s="23" t="s">
        <v>226</v>
      </c>
      <c r="K1387" s="24" t="s">
        <v>225</v>
      </c>
      <c r="L1387" s="23"/>
      <c r="M1387" s="26" t="s">
        <v>671</v>
      </c>
      <c r="N1387" s="24">
        <v>2022</v>
      </c>
    </row>
    <row r="1388" spans="1:14">
      <c r="A1388" s="24">
        <v>2021</v>
      </c>
      <c r="B1388" s="24" t="s">
        <v>4</v>
      </c>
      <c r="C1388" s="24" t="s">
        <v>5</v>
      </c>
      <c r="D1388" s="24" t="s">
        <v>6</v>
      </c>
      <c r="E1388" s="23">
        <v>5</v>
      </c>
      <c r="F1388" s="24" t="s">
        <v>207</v>
      </c>
      <c r="G1388" s="24" t="s">
        <v>225</v>
      </c>
      <c r="H1388" s="23" t="s">
        <v>226</v>
      </c>
      <c r="I1388" s="24" t="s">
        <v>225</v>
      </c>
      <c r="J1388" s="23" t="s">
        <v>226</v>
      </c>
      <c r="K1388" s="24" t="s">
        <v>225</v>
      </c>
      <c r="L1388" s="23"/>
      <c r="M1388" s="26" t="s">
        <v>671</v>
      </c>
      <c r="N1388" s="24">
        <v>2022</v>
      </c>
    </row>
    <row r="1389" spans="1:14">
      <c r="A1389" s="24">
        <v>2021</v>
      </c>
      <c r="B1389" s="24" t="s">
        <v>4</v>
      </c>
      <c r="C1389" s="24" t="s">
        <v>23</v>
      </c>
      <c r="D1389" s="24" t="s">
        <v>27</v>
      </c>
      <c r="E1389" s="23">
        <v>3</v>
      </c>
      <c r="F1389" s="24" t="s">
        <v>211</v>
      </c>
      <c r="G1389" s="24" t="s">
        <v>225</v>
      </c>
      <c r="H1389" s="23" t="s">
        <v>226</v>
      </c>
      <c r="I1389" s="24" t="s">
        <v>225</v>
      </c>
      <c r="J1389" s="23" t="s">
        <v>226</v>
      </c>
      <c r="K1389" s="24" t="s">
        <v>225</v>
      </c>
      <c r="L1389" s="23"/>
      <c r="M1389" s="26" t="s">
        <v>672</v>
      </c>
      <c r="N1389" s="24">
        <v>2022</v>
      </c>
    </row>
    <row r="1390" spans="1:14">
      <c r="A1390" s="24">
        <v>2021</v>
      </c>
      <c r="B1390" s="24" t="s">
        <v>136</v>
      </c>
      <c r="C1390" s="24" t="s">
        <v>160</v>
      </c>
      <c r="D1390" s="24" t="s">
        <v>161</v>
      </c>
      <c r="E1390" s="23">
        <v>1</v>
      </c>
      <c r="F1390" s="24" t="s">
        <v>207</v>
      </c>
      <c r="G1390" s="24" t="s">
        <v>225</v>
      </c>
      <c r="H1390" s="23" t="s">
        <v>226</v>
      </c>
      <c r="I1390" s="24" t="s">
        <v>225</v>
      </c>
      <c r="J1390" s="23" t="s">
        <v>226</v>
      </c>
      <c r="K1390" s="24" t="s">
        <v>225</v>
      </c>
      <c r="L1390" s="23"/>
      <c r="M1390" s="26" t="s">
        <v>672</v>
      </c>
      <c r="N1390" s="24">
        <v>2022</v>
      </c>
    </row>
    <row r="1391" spans="1:14">
      <c r="A1391" s="24">
        <v>2021</v>
      </c>
      <c r="B1391" s="24" t="s">
        <v>136</v>
      </c>
      <c r="C1391" s="24" t="s">
        <v>137</v>
      </c>
      <c r="D1391" s="24" t="s">
        <v>144</v>
      </c>
      <c r="E1391" s="28">
        <v>2</v>
      </c>
      <c r="F1391" s="24" t="s">
        <v>207</v>
      </c>
      <c r="G1391" s="24" t="s">
        <v>225</v>
      </c>
      <c r="H1391" s="23" t="s">
        <v>225</v>
      </c>
      <c r="I1391" s="24" t="s">
        <v>225</v>
      </c>
      <c r="J1391" s="23" t="s">
        <v>226</v>
      </c>
      <c r="K1391" s="24" t="s">
        <v>225</v>
      </c>
      <c r="L1391" s="23"/>
      <c r="M1391" s="26" t="s">
        <v>673</v>
      </c>
      <c r="N1391" s="24">
        <v>2022</v>
      </c>
    </row>
    <row r="1392" spans="1:14">
      <c r="A1392" s="24">
        <v>2021</v>
      </c>
      <c r="B1392" s="24" t="s">
        <v>78</v>
      </c>
      <c r="C1392" s="24" t="s">
        <v>80</v>
      </c>
      <c r="D1392" s="24" t="s">
        <v>81</v>
      </c>
      <c r="E1392" s="23"/>
      <c r="F1392" s="24" t="s">
        <v>207</v>
      </c>
      <c r="G1392" s="24" t="s">
        <v>225</v>
      </c>
      <c r="H1392" s="23" t="s">
        <v>225</v>
      </c>
      <c r="I1392" s="24" t="s">
        <v>225</v>
      </c>
      <c r="J1392" s="23" t="s">
        <v>226</v>
      </c>
      <c r="K1392" s="24" t="s">
        <v>225</v>
      </c>
      <c r="L1392" s="23"/>
      <c r="M1392" s="26" t="s">
        <v>674</v>
      </c>
      <c r="N1392" s="24">
        <v>2022</v>
      </c>
    </row>
    <row r="1393" spans="1:14">
      <c r="A1393" s="24">
        <v>2021</v>
      </c>
      <c r="B1393" s="24" t="s">
        <v>78</v>
      </c>
      <c r="C1393" s="24" t="s">
        <v>681</v>
      </c>
      <c r="D1393" s="24" t="s">
        <v>248</v>
      </c>
      <c r="E1393" s="23">
        <v>2</v>
      </c>
      <c r="F1393" s="24" t="s">
        <v>207</v>
      </c>
      <c r="G1393" s="24" t="s">
        <v>225</v>
      </c>
      <c r="H1393" s="23" t="s">
        <v>226</v>
      </c>
      <c r="I1393" s="24" t="s">
        <v>225</v>
      </c>
      <c r="J1393" s="23" t="s">
        <v>226</v>
      </c>
      <c r="K1393" s="24" t="s">
        <v>225</v>
      </c>
      <c r="L1393" s="23"/>
      <c r="M1393" s="26" t="s">
        <v>674</v>
      </c>
      <c r="N1393" s="24">
        <v>2022</v>
      </c>
    </row>
    <row r="1394" spans="1:14">
      <c r="A1394" s="24">
        <v>2021</v>
      </c>
      <c r="B1394" s="24" t="s">
        <v>78</v>
      </c>
      <c r="C1394" s="24" t="s">
        <v>683</v>
      </c>
      <c r="D1394" s="24" t="s">
        <v>118</v>
      </c>
      <c r="E1394" s="23"/>
      <c r="F1394" s="24" t="s">
        <v>211</v>
      </c>
      <c r="G1394" s="24" t="s">
        <v>225</v>
      </c>
      <c r="H1394" s="23" t="s">
        <v>225</v>
      </c>
      <c r="I1394" s="24" t="s">
        <v>225</v>
      </c>
      <c r="J1394" s="23" t="s">
        <v>226</v>
      </c>
      <c r="K1394" s="24" t="s">
        <v>225</v>
      </c>
      <c r="L1394" s="23"/>
      <c r="M1394" s="26" t="s">
        <v>674</v>
      </c>
      <c r="N1394" s="24">
        <v>2022</v>
      </c>
    </row>
    <row r="1395" spans="1:14">
      <c r="A1395" s="24">
        <v>2021</v>
      </c>
      <c r="B1395" s="24" t="s">
        <v>136</v>
      </c>
      <c r="C1395" s="24" t="s">
        <v>685</v>
      </c>
      <c r="D1395" s="24" t="s">
        <v>485</v>
      </c>
      <c r="E1395" s="23">
        <v>1</v>
      </c>
      <c r="F1395" s="24" t="s">
        <v>211</v>
      </c>
      <c r="G1395" s="24" t="s">
        <v>225</v>
      </c>
      <c r="H1395" s="23" t="s">
        <v>226</v>
      </c>
      <c r="I1395" s="24" t="s">
        <v>225</v>
      </c>
      <c r="J1395" s="23" t="s">
        <v>226</v>
      </c>
      <c r="K1395" s="24" t="s">
        <v>225</v>
      </c>
      <c r="L1395" s="23"/>
      <c r="M1395" s="26" t="s">
        <v>674</v>
      </c>
      <c r="N1395" s="24">
        <v>2022</v>
      </c>
    </row>
    <row r="1396" spans="1:14">
      <c r="A1396" s="24">
        <v>2021</v>
      </c>
      <c r="B1396" s="24" t="s">
        <v>136</v>
      </c>
      <c r="C1396" s="24" t="s">
        <v>137</v>
      </c>
      <c r="D1396" s="24" t="s">
        <v>138</v>
      </c>
      <c r="E1396" s="23">
        <v>7</v>
      </c>
      <c r="F1396" s="24" t="s">
        <v>207</v>
      </c>
      <c r="G1396" s="24" t="s">
        <v>225</v>
      </c>
      <c r="H1396" s="23" t="s">
        <v>226</v>
      </c>
      <c r="I1396" s="24" t="s">
        <v>225</v>
      </c>
      <c r="J1396" s="23" t="s">
        <v>226</v>
      </c>
      <c r="K1396" s="24" t="s">
        <v>225</v>
      </c>
      <c r="L1396" s="23"/>
      <c r="M1396" s="26" t="s">
        <v>674</v>
      </c>
      <c r="N1396" s="24">
        <v>2022</v>
      </c>
    </row>
    <row r="1397" spans="1:14">
      <c r="A1397" s="24">
        <v>2021</v>
      </c>
      <c r="B1397" s="24" t="s">
        <v>4</v>
      </c>
      <c r="C1397" s="24" t="s">
        <v>23</v>
      </c>
      <c r="D1397" s="24" t="s">
        <v>27</v>
      </c>
      <c r="E1397" s="23">
        <v>50</v>
      </c>
      <c r="F1397" s="24" t="s">
        <v>211</v>
      </c>
      <c r="G1397" s="24" t="s">
        <v>225</v>
      </c>
      <c r="H1397" s="23" t="s">
        <v>226</v>
      </c>
      <c r="I1397" s="24" t="s">
        <v>225</v>
      </c>
      <c r="J1397" s="23" t="s">
        <v>226</v>
      </c>
      <c r="K1397" s="24" t="s">
        <v>225</v>
      </c>
      <c r="L1397" s="23"/>
      <c r="M1397" s="26" t="s">
        <v>675</v>
      </c>
      <c r="N1397" s="24">
        <v>2022</v>
      </c>
    </row>
    <row r="1398" spans="1:14">
      <c r="A1398" s="24">
        <v>2021</v>
      </c>
      <c r="B1398" s="24" t="s">
        <v>4</v>
      </c>
      <c r="C1398" s="24" t="s">
        <v>5</v>
      </c>
      <c r="D1398" s="24" t="s">
        <v>7</v>
      </c>
      <c r="E1398" s="23">
        <v>7</v>
      </c>
      <c r="F1398" s="24" t="s">
        <v>211</v>
      </c>
      <c r="G1398" s="24" t="s">
        <v>225</v>
      </c>
      <c r="H1398" s="23" t="s">
        <v>226</v>
      </c>
      <c r="I1398" s="24" t="s">
        <v>225</v>
      </c>
      <c r="J1398" s="23" t="s">
        <v>226</v>
      </c>
      <c r="K1398" s="24" t="s">
        <v>225</v>
      </c>
      <c r="L1398" s="23"/>
      <c r="M1398" s="26" t="s">
        <v>676</v>
      </c>
      <c r="N1398" s="24">
        <v>2022</v>
      </c>
    </row>
    <row r="1399" spans="1:14">
      <c r="A1399" s="24">
        <v>2021</v>
      </c>
      <c r="B1399" s="24" t="s">
        <v>136</v>
      </c>
      <c r="C1399" s="24" t="s">
        <v>685</v>
      </c>
      <c r="D1399" s="24" t="s">
        <v>485</v>
      </c>
      <c r="E1399" s="23">
        <v>2</v>
      </c>
      <c r="F1399" s="24" t="s">
        <v>211</v>
      </c>
      <c r="G1399" s="24" t="s">
        <v>225</v>
      </c>
      <c r="H1399" s="23" t="s">
        <v>226</v>
      </c>
      <c r="I1399" s="24" t="s">
        <v>225</v>
      </c>
      <c r="J1399" s="23" t="s">
        <v>226</v>
      </c>
      <c r="K1399" s="24" t="s">
        <v>225</v>
      </c>
      <c r="L1399" s="23"/>
      <c r="M1399" s="26" t="s">
        <v>676</v>
      </c>
      <c r="N1399" s="24">
        <v>2022</v>
      </c>
    </row>
    <row r="1400" spans="1:14">
      <c r="A1400" s="24">
        <v>2021</v>
      </c>
      <c r="B1400" s="24" t="s">
        <v>4</v>
      </c>
      <c r="C1400" s="24" t="s">
        <v>18</v>
      </c>
      <c r="D1400" s="24" t="s">
        <v>22</v>
      </c>
      <c r="E1400" s="23"/>
      <c r="F1400" s="24" t="s">
        <v>211</v>
      </c>
      <c r="G1400" s="24" t="s">
        <v>225</v>
      </c>
      <c r="H1400" s="23" t="s">
        <v>225</v>
      </c>
      <c r="I1400" s="24" t="s">
        <v>225</v>
      </c>
      <c r="J1400" s="23" t="s">
        <v>226</v>
      </c>
      <c r="K1400" s="24" t="s">
        <v>225</v>
      </c>
      <c r="L1400" s="23"/>
      <c r="M1400" s="26" t="s">
        <v>677</v>
      </c>
      <c r="N1400" s="24">
        <v>2022</v>
      </c>
    </row>
    <row r="1401" spans="1:14">
      <c r="A1401" s="24">
        <v>2021</v>
      </c>
      <c r="B1401" s="24" t="s">
        <v>136</v>
      </c>
      <c r="C1401" s="24" t="s">
        <v>189</v>
      </c>
      <c r="D1401" s="24" t="s">
        <v>259</v>
      </c>
      <c r="E1401" s="23">
        <v>8</v>
      </c>
      <c r="F1401" s="24" t="s">
        <v>207</v>
      </c>
      <c r="G1401" s="24" t="s">
        <v>225</v>
      </c>
      <c r="H1401" s="23" t="s">
        <v>226</v>
      </c>
      <c r="I1401" s="24" t="s">
        <v>225</v>
      </c>
      <c r="J1401" s="23" t="s">
        <v>226</v>
      </c>
      <c r="K1401" s="24" t="s">
        <v>225</v>
      </c>
      <c r="L1401" s="23"/>
      <c r="M1401" s="26" t="s">
        <v>678</v>
      </c>
      <c r="N1401" s="24">
        <v>2022</v>
      </c>
    </row>
    <row r="1402" spans="1:14">
      <c r="A1402" s="24">
        <v>2021</v>
      </c>
      <c r="B1402" s="24" t="s">
        <v>136</v>
      </c>
      <c r="C1402" s="24" t="s">
        <v>137</v>
      </c>
      <c r="D1402" s="24" t="s">
        <v>145</v>
      </c>
      <c r="E1402" s="23"/>
      <c r="F1402" s="24" t="s">
        <v>211</v>
      </c>
      <c r="G1402" s="24" t="s">
        <v>225</v>
      </c>
      <c r="H1402" s="23" t="s">
        <v>225</v>
      </c>
      <c r="I1402" s="24" t="s">
        <v>225</v>
      </c>
      <c r="J1402" s="23" t="s">
        <v>226</v>
      </c>
      <c r="K1402" s="24" t="s">
        <v>225</v>
      </c>
      <c r="L1402" s="23"/>
      <c r="M1402" s="25">
        <v>44717</v>
      </c>
      <c r="N1402" s="24">
        <v>2022</v>
      </c>
    </row>
    <row r="1403" spans="1:14">
      <c r="A1403" s="24">
        <v>2021</v>
      </c>
      <c r="B1403" s="24" t="s">
        <v>136</v>
      </c>
      <c r="C1403" s="24" t="s">
        <v>176</v>
      </c>
      <c r="D1403" s="24" t="s">
        <v>180</v>
      </c>
      <c r="E1403" s="23">
        <v>1</v>
      </c>
      <c r="F1403" s="24" t="s">
        <v>207</v>
      </c>
      <c r="G1403" s="24" t="s">
        <v>225</v>
      </c>
      <c r="H1403" s="23" t="s">
        <v>226</v>
      </c>
      <c r="I1403" s="24" t="s">
        <v>225</v>
      </c>
      <c r="J1403" s="23" t="s">
        <v>226</v>
      </c>
      <c r="K1403" s="24" t="s">
        <v>225</v>
      </c>
      <c r="L1403" s="23"/>
      <c r="M1403" s="25">
        <v>44717</v>
      </c>
      <c r="N1403" s="24">
        <v>2022</v>
      </c>
    </row>
    <row r="1404" spans="1:14">
      <c r="A1404" s="24">
        <v>2021</v>
      </c>
      <c r="B1404" s="24" t="s">
        <v>78</v>
      </c>
      <c r="C1404" s="24" t="s">
        <v>681</v>
      </c>
      <c r="D1404" s="24" t="s">
        <v>201</v>
      </c>
      <c r="E1404" s="23">
        <v>4</v>
      </c>
      <c r="F1404" s="24" t="s">
        <v>207</v>
      </c>
      <c r="G1404" s="24" t="s">
        <v>225</v>
      </c>
      <c r="H1404" s="23" t="s">
        <v>226</v>
      </c>
      <c r="I1404" s="24" t="s">
        <v>225</v>
      </c>
      <c r="J1404" s="23" t="s">
        <v>226</v>
      </c>
      <c r="K1404" s="24" t="s">
        <v>225</v>
      </c>
      <c r="L1404" s="23"/>
      <c r="M1404" s="25">
        <v>44717</v>
      </c>
      <c r="N1404" s="24">
        <v>2022</v>
      </c>
    </row>
    <row r="1405" spans="1:14">
      <c r="A1405" s="24">
        <v>2021</v>
      </c>
      <c r="B1405" s="24" t="s">
        <v>136</v>
      </c>
      <c r="C1405" s="24" t="s">
        <v>176</v>
      </c>
      <c r="D1405" s="24" t="s">
        <v>181</v>
      </c>
      <c r="E1405" s="23">
        <v>2</v>
      </c>
      <c r="F1405" s="24" t="s">
        <v>207</v>
      </c>
      <c r="G1405" s="24" t="s">
        <v>225</v>
      </c>
      <c r="H1405" s="23" t="s">
        <v>226</v>
      </c>
      <c r="I1405" s="24" t="s">
        <v>225</v>
      </c>
      <c r="J1405" s="23" t="s">
        <v>226</v>
      </c>
      <c r="K1405" s="24" t="s">
        <v>225</v>
      </c>
      <c r="L1405" s="23"/>
      <c r="M1405" s="25">
        <v>44717</v>
      </c>
      <c r="N1405" s="24">
        <v>2022</v>
      </c>
    </row>
    <row r="1406" spans="1:14">
      <c r="A1406" s="24">
        <v>2021</v>
      </c>
      <c r="B1406" s="24" t="s">
        <v>4</v>
      </c>
      <c r="C1406" s="24" t="s">
        <v>31</v>
      </c>
      <c r="D1406" s="24" t="s">
        <v>33</v>
      </c>
      <c r="E1406" s="23">
        <v>1</v>
      </c>
      <c r="F1406" s="24" t="s">
        <v>211</v>
      </c>
      <c r="G1406" s="24" t="s">
        <v>225</v>
      </c>
      <c r="H1406" s="23" t="s">
        <v>226</v>
      </c>
      <c r="I1406" s="24" t="s">
        <v>225</v>
      </c>
      <c r="J1406" s="23" t="s">
        <v>226</v>
      </c>
      <c r="K1406" s="24" t="s">
        <v>225</v>
      </c>
      <c r="L1406" s="23"/>
      <c r="M1406" s="25">
        <v>44717</v>
      </c>
      <c r="N1406" s="24">
        <v>2022</v>
      </c>
    </row>
    <row r="1407" spans="1:14">
      <c r="A1407" s="24">
        <v>2021</v>
      </c>
      <c r="B1407" s="24" t="s">
        <v>4</v>
      </c>
      <c r="C1407" s="24" t="s">
        <v>18</v>
      </c>
      <c r="D1407" s="24" t="s">
        <v>22</v>
      </c>
      <c r="E1407" s="23">
        <v>4</v>
      </c>
      <c r="F1407" s="24" t="s">
        <v>211</v>
      </c>
      <c r="G1407" s="24" t="s">
        <v>225</v>
      </c>
      <c r="H1407" s="23" t="s">
        <v>226</v>
      </c>
      <c r="I1407" s="24" t="s">
        <v>225</v>
      </c>
      <c r="J1407" s="23" t="s">
        <v>226</v>
      </c>
      <c r="K1407" s="24" t="s">
        <v>225</v>
      </c>
      <c r="L1407" s="23"/>
      <c r="M1407" s="26" t="s">
        <v>679</v>
      </c>
      <c r="N1407" s="24">
        <v>2022</v>
      </c>
    </row>
    <row r="1408" spans="1:14">
      <c r="A1408" s="24">
        <v>2021</v>
      </c>
      <c r="B1408" s="24" t="s">
        <v>4</v>
      </c>
      <c r="C1408" s="24" t="s">
        <v>5</v>
      </c>
      <c r="D1408" s="24" t="s">
        <v>8</v>
      </c>
      <c r="E1408" s="23">
        <v>6</v>
      </c>
      <c r="F1408" s="24" t="s">
        <v>207</v>
      </c>
      <c r="G1408" s="24" t="s">
        <v>225</v>
      </c>
      <c r="H1408" s="23" t="s">
        <v>226</v>
      </c>
      <c r="I1408" s="24" t="s">
        <v>225</v>
      </c>
      <c r="J1408" s="23" t="s">
        <v>226</v>
      </c>
      <c r="K1408" s="24" t="s">
        <v>225</v>
      </c>
      <c r="L1408" s="23"/>
      <c r="M1408" s="25">
        <v>44745</v>
      </c>
      <c r="N1408" s="24">
        <v>2022</v>
      </c>
    </row>
    <row r="1409" spans="1:14">
      <c r="A1409" s="24">
        <v>2021</v>
      </c>
      <c r="B1409" s="24" t="s">
        <v>4</v>
      </c>
      <c r="C1409" s="24" t="s">
        <v>203</v>
      </c>
      <c r="D1409" s="24" t="s">
        <v>39</v>
      </c>
      <c r="E1409" s="23">
        <v>5</v>
      </c>
      <c r="F1409" s="24" t="s">
        <v>207</v>
      </c>
      <c r="G1409" s="24" t="s">
        <v>225</v>
      </c>
      <c r="H1409" s="23" t="s">
        <v>226</v>
      </c>
      <c r="I1409" s="24" t="s">
        <v>226</v>
      </c>
      <c r="J1409" s="23" t="s">
        <v>226</v>
      </c>
      <c r="K1409" s="24" t="s">
        <v>225</v>
      </c>
      <c r="L1409" s="23"/>
      <c r="M1409" s="25">
        <v>44745</v>
      </c>
      <c r="N1409" s="24">
        <v>2022</v>
      </c>
    </row>
    <row r="1410" spans="1:14">
      <c r="A1410" s="24">
        <v>2021</v>
      </c>
      <c r="B1410" s="24" t="s">
        <v>78</v>
      </c>
      <c r="C1410" s="24" t="s">
        <v>79</v>
      </c>
      <c r="D1410" s="24" t="s">
        <v>53</v>
      </c>
      <c r="E1410" s="23"/>
      <c r="F1410" s="24" t="s">
        <v>211</v>
      </c>
      <c r="G1410" s="23" t="s">
        <v>226</v>
      </c>
      <c r="H1410" s="23" t="s">
        <v>225</v>
      </c>
      <c r="I1410" s="24" t="s">
        <v>225</v>
      </c>
      <c r="J1410" s="23" t="s">
        <v>226</v>
      </c>
      <c r="K1410" s="24" t="s">
        <v>225</v>
      </c>
      <c r="L1410" s="23"/>
      <c r="M1410" s="25">
        <v>44746</v>
      </c>
      <c r="N1410" s="24">
        <v>2022</v>
      </c>
    </row>
    <row r="1411" spans="1:14">
      <c r="A1411" s="24">
        <v>2021</v>
      </c>
      <c r="B1411" s="24" t="s">
        <v>78</v>
      </c>
      <c r="C1411" s="24" t="s">
        <v>92</v>
      </c>
      <c r="D1411" s="24" t="s">
        <v>562</v>
      </c>
      <c r="E1411" s="23"/>
      <c r="F1411" s="24" t="s">
        <v>211</v>
      </c>
      <c r="G1411" s="24" t="s">
        <v>225</v>
      </c>
      <c r="H1411" s="23" t="s">
        <v>225</v>
      </c>
      <c r="I1411" s="24" t="s">
        <v>225</v>
      </c>
      <c r="J1411" s="23" t="s">
        <v>226</v>
      </c>
      <c r="K1411" s="24" t="s">
        <v>225</v>
      </c>
      <c r="L1411" s="23"/>
      <c r="M1411" s="25">
        <v>44746</v>
      </c>
      <c r="N1411" s="24">
        <v>2022</v>
      </c>
    </row>
    <row r="1412" spans="1:14">
      <c r="A1412" s="24">
        <v>2021</v>
      </c>
      <c r="B1412" s="24" t="s">
        <v>136</v>
      </c>
      <c r="C1412" s="24" t="s">
        <v>189</v>
      </c>
      <c r="D1412" s="24" t="s">
        <v>258</v>
      </c>
      <c r="E1412" s="23">
        <v>2</v>
      </c>
      <c r="F1412" s="24" t="s">
        <v>211</v>
      </c>
      <c r="G1412" s="24" t="s">
        <v>225</v>
      </c>
      <c r="H1412" s="23" t="s">
        <v>226</v>
      </c>
      <c r="I1412" s="24" t="s">
        <v>225</v>
      </c>
      <c r="J1412" s="23" t="s">
        <v>226</v>
      </c>
      <c r="K1412" s="24" t="s">
        <v>225</v>
      </c>
      <c r="L1412" s="23"/>
      <c r="M1412" s="25">
        <v>44776</v>
      </c>
      <c r="N1412" s="24">
        <v>2022</v>
      </c>
    </row>
    <row r="1413" spans="1:14">
      <c r="A1413" s="24">
        <v>2021</v>
      </c>
      <c r="B1413" s="24" t="s">
        <v>136</v>
      </c>
      <c r="C1413" s="24" t="s">
        <v>160</v>
      </c>
      <c r="D1413" s="24" t="s">
        <v>306</v>
      </c>
      <c r="E1413" s="23">
        <v>5</v>
      </c>
      <c r="F1413" s="24" t="s">
        <v>211</v>
      </c>
      <c r="G1413" s="24" t="s">
        <v>225</v>
      </c>
      <c r="H1413" s="23" t="s">
        <v>226</v>
      </c>
      <c r="I1413" s="24" t="s">
        <v>225</v>
      </c>
      <c r="J1413" s="23" t="s">
        <v>226</v>
      </c>
      <c r="K1413" s="24" t="s">
        <v>225</v>
      </c>
      <c r="L1413" s="23"/>
      <c r="M1413" s="25">
        <v>44777</v>
      </c>
      <c r="N1413" s="24">
        <v>2022</v>
      </c>
    </row>
    <row r="1414" spans="1:14">
      <c r="A1414" s="24">
        <v>2021</v>
      </c>
      <c r="B1414" s="24" t="s">
        <v>136</v>
      </c>
      <c r="C1414" s="24" t="s">
        <v>168</v>
      </c>
      <c r="D1414" s="24" t="s">
        <v>170</v>
      </c>
      <c r="E1414" s="23">
        <v>16</v>
      </c>
      <c r="F1414" s="24" t="s">
        <v>211</v>
      </c>
      <c r="G1414" s="24" t="s">
        <v>225</v>
      </c>
      <c r="H1414" s="23" t="s">
        <v>226</v>
      </c>
      <c r="I1414" s="24" t="s">
        <v>225</v>
      </c>
      <c r="J1414" s="23" t="s">
        <v>226</v>
      </c>
      <c r="K1414" s="24" t="s">
        <v>225</v>
      </c>
      <c r="L1414" s="23"/>
      <c r="M1414" s="25">
        <v>44777</v>
      </c>
      <c r="N1414" s="24">
        <v>2022</v>
      </c>
    </row>
    <row r="1415" spans="1:14">
      <c r="A1415" s="24">
        <v>2021</v>
      </c>
      <c r="B1415" s="24" t="s">
        <v>4</v>
      </c>
      <c r="C1415" s="24" t="s">
        <v>31</v>
      </c>
      <c r="D1415" s="24" t="s">
        <v>32</v>
      </c>
      <c r="E1415" s="23">
        <v>6</v>
      </c>
      <c r="F1415" s="24" t="s">
        <v>211</v>
      </c>
      <c r="G1415" s="24" t="s">
        <v>225</v>
      </c>
      <c r="H1415" s="23" t="s">
        <v>226</v>
      </c>
      <c r="I1415" s="24" t="s">
        <v>226</v>
      </c>
      <c r="J1415" s="23" t="s">
        <v>226</v>
      </c>
      <c r="K1415" s="24" t="s">
        <v>225</v>
      </c>
      <c r="L1415" s="23"/>
      <c r="M1415" s="25">
        <v>44777</v>
      </c>
      <c r="N1415" s="24">
        <v>2022</v>
      </c>
    </row>
    <row r="1416" spans="1:14">
      <c r="A1416" s="24">
        <v>2021</v>
      </c>
      <c r="B1416" s="24" t="s">
        <v>136</v>
      </c>
      <c r="C1416" s="24" t="s">
        <v>189</v>
      </c>
      <c r="D1416" s="24" t="s">
        <v>258</v>
      </c>
      <c r="E1416" s="23">
        <v>33</v>
      </c>
      <c r="F1416" s="24" t="s">
        <v>211</v>
      </c>
      <c r="G1416" s="24" t="s">
        <v>225</v>
      </c>
      <c r="H1416" s="23" t="s">
        <v>226</v>
      </c>
      <c r="I1416" s="24" t="s">
        <v>225</v>
      </c>
      <c r="J1416" s="23" t="s">
        <v>226</v>
      </c>
      <c r="K1416" s="24" t="s">
        <v>225</v>
      </c>
      <c r="L1416" s="23"/>
      <c r="M1416" s="25">
        <v>44777</v>
      </c>
      <c r="N1416" s="24">
        <v>2022</v>
      </c>
    </row>
    <row r="1417" spans="1:14">
      <c r="A1417" s="24">
        <v>2021</v>
      </c>
      <c r="B1417" s="24" t="s">
        <v>4</v>
      </c>
      <c r="C1417" s="24" t="s">
        <v>23</v>
      </c>
      <c r="D1417" s="24" t="s">
        <v>25</v>
      </c>
      <c r="E1417" s="23">
        <v>11</v>
      </c>
      <c r="F1417" s="24" t="s">
        <v>211</v>
      </c>
      <c r="G1417" s="24" t="s">
        <v>225</v>
      </c>
      <c r="H1417" s="23" t="s">
        <v>226</v>
      </c>
      <c r="I1417" s="24" t="s">
        <v>226</v>
      </c>
      <c r="J1417" s="23" t="s">
        <v>226</v>
      </c>
      <c r="K1417" s="24" t="s">
        <v>225</v>
      </c>
      <c r="L1417" s="23"/>
      <c r="M1417" s="25">
        <v>44806</v>
      </c>
      <c r="N1417" s="24">
        <v>2022</v>
      </c>
    </row>
    <row r="1418" spans="1:14">
      <c r="A1418" s="24">
        <v>2021</v>
      </c>
      <c r="B1418" s="24" t="s">
        <v>136</v>
      </c>
      <c r="C1418" s="24" t="s">
        <v>146</v>
      </c>
      <c r="D1418" s="24" t="s">
        <v>326</v>
      </c>
      <c r="E1418" s="23">
        <v>1</v>
      </c>
      <c r="F1418" s="24" t="s">
        <v>207</v>
      </c>
      <c r="G1418" s="24" t="s">
        <v>225</v>
      </c>
      <c r="H1418" s="23" t="s">
        <v>226</v>
      </c>
      <c r="I1418" s="24" t="s">
        <v>225</v>
      </c>
      <c r="J1418" s="23" t="s">
        <v>226</v>
      </c>
      <c r="K1418" s="24" t="s">
        <v>225</v>
      </c>
      <c r="L1418" s="23"/>
      <c r="M1418" s="25">
        <v>44807</v>
      </c>
      <c r="N1418" s="24">
        <v>2022</v>
      </c>
    </row>
    <row r="1419" spans="1:14">
      <c r="A1419" s="24">
        <v>2021</v>
      </c>
      <c r="B1419" s="24" t="s">
        <v>136</v>
      </c>
      <c r="C1419" s="24" t="s">
        <v>168</v>
      </c>
      <c r="D1419" s="24" t="s">
        <v>314</v>
      </c>
      <c r="E1419" s="23"/>
      <c r="F1419" s="24" t="s">
        <v>211</v>
      </c>
      <c r="G1419" s="24" t="s">
        <v>225</v>
      </c>
      <c r="H1419" s="23" t="s">
        <v>225</v>
      </c>
      <c r="I1419" s="24" t="s">
        <v>225</v>
      </c>
      <c r="J1419" s="23" t="s">
        <v>226</v>
      </c>
      <c r="K1419" s="24" t="s">
        <v>225</v>
      </c>
      <c r="L1419" s="23"/>
      <c r="M1419" s="25">
        <v>44809</v>
      </c>
      <c r="N1419" s="24">
        <v>2022</v>
      </c>
    </row>
    <row r="1420" spans="1:14">
      <c r="A1420" s="24">
        <v>2021</v>
      </c>
      <c r="B1420" s="24" t="s">
        <v>4</v>
      </c>
      <c r="C1420" s="24" t="s">
        <v>31</v>
      </c>
      <c r="D1420" s="24" t="s">
        <v>34</v>
      </c>
      <c r="E1420" s="23">
        <v>6</v>
      </c>
      <c r="F1420" s="24" t="s">
        <v>211</v>
      </c>
      <c r="G1420" s="24" t="s">
        <v>225</v>
      </c>
      <c r="H1420" s="23" t="s">
        <v>226</v>
      </c>
      <c r="I1420" s="24" t="s">
        <v>225</v>
      </c>
      <c r="J1420" s="23" t="s">
        <v>226</v>
      </c>
      <c r="K1420" s="24" t="s">
        <v>225</v>
      </c>
      <c r="L1420" s="23"/>
      <c r="M1420" s="25">
        <v>44809</v>
      </c>
      <c r="N1420" s="24">
        <v>2022</v>
      </c>
    </row>
    <row r="1421" spans="1:14">
      <c r="A1421" s="24">
        <v>2021</v>
      </c>
      <c r="B1421" s="24" t="s">
        <v>136</v>
      </c>
      <c r="C1421" s="24" t="s">
        <v>685</v>
      </c>
      <c r="D1421" s="24" t="s">
        <v>485</v>
      </c>
      <c r="E1421" s="23">
        <v>4</v>
      </c>
      <c r="F1421" s="24" t="s">
        <v>211</v>
      </c>
      <c r="G1421" s="24" t="s">
        <v>225</v>
      </c>
      <c r="H1421" s="23" t="s">
        <v>226</v>
      </c>
      <c r="I1421" s="24" t="s">
        <v>225</v>
      </c>
      <c r="J1421" s="23" t="s">
        <v>226</v>
      </c>
      <c r="K1421" s="24" t="s">
        <v>225</v>
      </c>
      <c r="L1421" s="23"/>
      <c r="M1421" s="25">
        <v>44810</v>
      </c>
      <c r="N1421" s="24">
        <v>2022</v>
      </c>
    </row>
    <row r="1422" spans="1:14">
      <c r="A1422" s="24">
        <v>2021</v>
      </c>
      <c r="B1422" s="24" t="s">
        <v>136</v>
      </c>
      <c r="C1422" s="24" t="s">
        <v>160</v>
      </c>
      <c r="D1422" s="24" t="s">
        <v>166</v>
      </c>
      <c r="E1422" s="23">
        <v>1</v>
      </c>
      <c r="F1422" s="24" t="s">
        <v>207</v>
      </c>
      <c r="G1422" s="23" t="s">
        <v>226</v>
      </c>
      <c r="H1422" s="23" t="s">
        <v>226</v>
      </c>
      <c r="I1422" s="24" t="s">
        <v>226</v>
      </c>
      <c r="J1422" s="23" t="s">
        <v>226</v>
      </c>
      <c r="K1422" s="24" t="s">
        <v>225</v>
      </c>
      <c r="L1422" s="23"/>
      <c r="M1422" s="25">
        <v>44835</v>
      </c>
      <c r="N1422" s="24">
        <v>2022</v>
      </c>
    </row>
    <row r="1423" spans="1:14">
      <c r="A1423" s="24">
        <v>2021</v>
      </c>
      <c r="B1423" s="24" t="s">
        <v>78</v>
      </c>
      <c r="C1423" s="24" t="s">
        <v>681</v>
      </c>
      <c r="D1423" s="24" t="s">
        <v>132</v>
      </c>
      <c r="E1423" s="23">
        <v>5</v>
      </c>
      <c r="F1423" s="24" t="s">
        <v>211</v>
      </c>
      <c r="G1423" s="23" t="s">
        <v>226</v>
      </c>
      <c r="H1423" s="23" t="s">
        <v>226</v>
      </c>
      <c r="I1423" s="24" t="s">
        <v>225</v>
      </c>
      <c r="J1423" s="23" t="s">
        <v>226</v>
      </c>
      <c r="K1423" s="24" t="s">
        <v>225</v>
      </c>
      <c r="L1423" s="23"/>
      <c r="M1423" s="25">
        <v>44835</v>
      </c>
      <c r="N1423" s="24">
        <v>2022</v>
      </c>
    </row>
    <row r="1424" spans="1:14">
      <c r="A1424" s="24">
        <v>2021</v>
      </c>
      <c r="B1424" s="24" t="s">
        <v>4</v>
      </c>
      <c r="C1424" s="24" t="s">
        <v>203</v>
      </c>
      <c r="D1424" s="24" t="s">
        <v>204</v>
      </c>
      <c r="E1424" s="23">
        <v>2</v>
      </c>
      <c r="F1424" s="24" t="s">
        <v>207</v>
      </c>
      <c r="G1424" s="24" t="s">
        <v>225</v>
      </c>
      <c r="H1424" s="23" t="s">
        <v>226</v>
      </c>
      <c r="I1424" s="24" t="s">
        <v>226</v>
      </c>
      <c r="J1424" s="23" t="s">
        <v>226</v>
      </c>
      <c r="K1424" s="24" t="s">
        <v>225</v>
      </c>
      <c r="L1424" s="23"/>
      <c r="M1424" s="25">
        <v>44866</v>
      </c>
      <c r="N1424" s="24">
        <v>2022</v>
      </c>
    </row>
    <row r="1425" spans="1:14">
      <c r="A1425" s="24">
        <v>2021</v>
      </c>
      <c r="B1425" s="24" t="s">
        <v>4</v>
      </c>
      <c r="C1425" s="24" t="s">
        <v>23</v>
      </c>
      <c r="D1425" s="24" t="s">
        <v>407</v>
      </c>
      <c r="E1425" s="23">
        <v>13</v>
      </c>
      <c r="F1425" s="24" t="s">
        <v>207</v>
      </c>
      <c r="G1425" s="24" t="s">
        <v>225</v>
      </c>
      <c r="H1425" s="23" t="s">
        <v>226</v>
      </c>
      <c r="I1425" s="24" t="s">
        <v>226</v>
      </c>
      <c r="J1425" s="23" t="s">
        <v>226</v>
      </c>
      <c r="K1425" s="24" t="s">
        <v>225</v>
      </c>
      <c r="L1425" s="23"/>
      <c r="M1425" s="25">
        <v>44867</v>
      </c>
      <c r="N1425" s="24">
        <v>2022</v>
      </c>
    </row>
    <row r="1426" spans="1:14">
      <c r="A1426" s="24">
        <v>2021</v>
      </c>
      <c r="B1426" s="24" t="s">
        <v>4</v>
      </c>
      <c r="C1426" s="24" t="s">
        <v>5</v>
      </c>
      <c r="D1426" s="24" t="s">
        <v>7</v>
      </c>
      <c r="E1426" s="23">
        <v>21</v>
      </c>
      <c r="F1426" s="24" t="s">
        <v>211</v>
      </c>
      <c r="G1426" s="24" t="s">
        <v>225</v>
      </c>
      <c r="H1426" s="23" t="s">
        <v>226</v>
      </c>
      <c r="I1426" s="24" t="s">
        <v>225</v>
      </c>
      <c r="J1426" s="23" t="s">
        <v>226</v>
      </c>
      <c r="K1426" s="24" t="s">
        <v>225</v>
      </c>
      <c r="L1426" s="23"/>
      <c r="M1426" s="25">
        <v>44867</v>
      </c>
      <c r="N1426" s="24">
        <v>2022</v>
      </c>
    </row>
    <row r="1427" spans="1:14">
      <c r="A1427" s="24">
        <v>2021</v>
      </c>
      <c r="B1427" s="24" t="s">
        <v>136</v>
      </c>
      <c r="C1427" s="24" t="s">
        <v>137</v>
      </c>
      <c r="D1427" s="24" t="s">
        <v>138</v>
      </c>
      <c r="E1427" s="23">
        <v>3</v>
      </c>
      <c r="F1427" s="24" t="s">
        <v>207</v>
      </c>
      <c r="G1427" s="24" t="s">
        <v>225</v>
      </c>
      <c r="H1427" s="23" t="s">
        <v>226</v>
      </c>
      <c r="I1427" s="24" t="s">
        <v>225</v>
      </c>
      <c r="J1427" s="23" t="s">
        <v>226</v>
      </c>
      <c r="K1427" s="24" t="s">
        <v>225</v>
      </c>
      <c r="L1427" s="23"/>
      <c r="M1427" s="25">
        <v>44867</v>
      </c>
      <c r="N1427" s="24">
        <v>2022</v>
      </c>
    </row>
    <row r="1428" spans="1:14">
      <c r="A1428" s="24">
        <v>2021</v>
      </c>
      <c r="B1428" s="24" t="s">
        <v>136</v>
      </c>
      <c r="C1428" s="24" t="s">
        <v>189</v>
      </c>
      <c r="D1428" s="24" t="s">
        <v>197</v>
      </c>
      <c r="E1428" s="23">
        <v>2</v>
      </c>
      <c r="F1428" s="24" t="s">
        <v>211</v>
      </c>
      <c r="G1428" s="24" t="s">
        <v>225</v>
      </c>
      <c r="H1428" s="23" t="s">
        <v>226</v>
      </c>
      <c r="I1428" s="24" t="s">
        <v>225</v>
      </c>
      <c r="J1428" s="23" t="s">
        <v>226</v>
      </c>
      <c r="K1428" s="24" t="s">
        <v>225</v>
      </c>
      <c r="L1428" s="23"/>
      <c r="M1428" s="25">
        <v>44867</v>
      </c>
      <c r="N1428" s="24">
        <v>2022</v>
      </c>
    </row>
    <row r="1429" spans="1:14">
      <c r="A1429" s="24">
        <v>2021</v>
      </c>
      <c r="B1429" s="24" t="s">
        <v>4</v>
      </c>
      <c r="C1429" s="24" t="s">
        <v>5</v>
      </c>
      <c r="D1429" s="24" t="s">
        <v>7</v>
      </c>
      <c r="E1429" s="23">
        <v>15</v>
      </c>
      <c r="F1429" s="24" t="s">
        <v>207</v>
      </c>
      <c r="G1429" s="24" t="s">
        <v>225</v>
      </c>
      <c r="H1429" s="23" t="s">
        <v>226</v>
      </c>
      <c r="I1429" s="24" t="s">
        <v>226</v>
      </c>
      <c r="J1429" s="23" t="s">
        <v>226</v>
      </c>
      <c r="K1429" s="24" t="s">
        <v>225</v>
      </c>
      <c r="L1429" s="23"/>
      <c r="M1429" s="25">
        <v>44868</v>
      </c>
      <c r="N1429" s="24">
        <v>2022</v>
      </c>
    </row>
    <row r="1430" spans="1:14">
      <c r="A1430" s="24">
        <v>2021</v>
      </c>
      <c r="B1430" s="24" t="s">
        <v>78</v>
      </c>
      <c r="C1430" s="24" t="s">
        <v>79</v>
      </c>
      <c r="D1430" s="24" t="s">
        <v>292</v>
      </c>
      <c r="E1430" s="23">
        <v>6</v>
      </c>
      <c r="F1430" s="24" t="s">
        <v>207</v>
      </c>
      <c r="G1430" s="24" t="s">
        <v>225</v>
      </c>
      <c r="H1430" s="23" t="s">
        <v>226</v>
      </c>
      <c r="I1430" s="24" t="s">
        <v>225</v>
      </c>
      <c r="J1430" s="23" t="s">
        <v>226</v>
      </c>
      <c r="K1430" s="24" t="s">
        <v>225</v>
      </c>
      <c r="L1430" s="23"/>
      <c r="M1430" s="25">
        <v>44868</v>
      </c>
      <c r="N1430" s="24">
        <v>2022</v>
      </c>
    </row>
    <row r="1431" spans="1:14">
      <c r="A1431" s="24">
        <v>2021</v>
      </c>
      <c r="B1431" s="24" t="s">
        <v>78</v>
      </c>
      <c r="C1431" s="24" t="s">
        <v>79</v>
      </c>
      <c r="D1431" s="24" t="s">
        <v>57</v>
      </c>
      <c r="E1431" s="23">
        <v>1</v>
      </c>
      <c r="F1431" s="24" t="s">
        <v>207</v>
      </c>
      <c r="G1431" s="24" t="s">
        <v>225</v>
      </c>
      <c r="H1431" s="23" t="s">
        <v>226</v>
      </c>
      <c r="I1431" s="24" t="s">
        <v>226</v>
      </c>
      <c r="J1431" s="23" t="s">
        <v>226</v>
      </c>
      <c r="K1431" s="24" t="s">
        <v>225</v>
      </c>
      <c r="L1431" s="23"/>
      <c r="M1431" s="25">
        <v>44868</v>
      </c>
      <c r="N1431" s="24">
        <v>2022</v>
      </c>
    </row>
    <row r="1432" spans="1:14">
      <c r="A1432" s="24">
        <v>2021</v>
      </c>
      <c r="B1432" s="24" t="s">
        <v>4</v>
      </c>
      <c r="C1432" s="24" t="s">
        <v>5</v>
      </c>
      <c r="D1432" s="24" t="s">
        <v>13</v>
      </c>
      <c r="E1432" s="23">
        <v>1</v>
      </c>
      <c r="F1432" s="24" t="s">
        <v>211</v>
      </c>
      <c r="G1432" s="24" t="s">
        <v>225</v>
      </c>
      <c r="H1432" s="23" t="s">
        <v>226</v>
      </c>
      <c r="I1432" s="24" t="s">
        <v>225</v>
      </c>
      <c r="J1432" s="23" t="s">
        <v>226</v>
      </c>
      <c r="K1432" s="24" t="s">
        <v>225</v>
      </c>
      <c r="L1432" s="23"/>
      <c r="M1432" s="25">
        <v>44868</v>
      </c>
      <c r="N1432" s="24">
        <v>2022</v>
      </c>
    </row>
    <row r="1433" spans="1:14">
      <c r="A1433" s="24">
        <v>2021</v>
      </c>
      <c r="B1433" s="24" t="s">
        <v>136</v>
      </c>
      <c r="C1433" s="24" t="s">
        <v>176</v>
      </c>
      <c r="D1433" s="24" t="s">
        <v>464</v>
      </c>
      <c r="E1433" s="23">
        <v>1</v>
      </c>
      <c r="F1433" s="24" t="s">
        <v>207</v>
      </c>
      <c r="G1433" s="24" t="s">
        <v>225</v>
      </c>
      <c r="H1433" s="23" t="s">
        <v>226</v>
      </c>
      <c r="I1433" s="24" t="s">
        <v>225</v>
      </c>
      <c r="J1433" s="23" t="s">
        <v>226</v>
      </c>
      <c r="K1433" s="24" t="s">
        <v>225</v>
      </c>
      <c r="L1433" s="23"/>
      <c r="M1433" s="25">
        <v>44868</v>
      </c>
      <c r="N1433" s="24">
        <v>2022</v>
      </c>
    </row>
    <row r="1434" spans="1:14">
      <c r="A1434" s="24">
        <v>2021</v>
      </c>
      <c r="B1434" s="24" t="s">
        <v>4</v>
      </c>
      <c r="C1434" s="24" t="s">
        <v>18</v>
      </c>
      <c r="D1434" s="24" t="s">
        <v>20</v>
      </c>
      <c r="E1434" s="23">
        <v>6</v>
      </c>
      <c r="F1434" s="24" t="s">
        <v>207</v>
      </c>
      <c r="G1434" s="24" t="s">
        <v>225</v>
      </c>
      <c r="H1434" s="23" t="s">
        <v>226</v>
      </c>
      <c r="I1434" s="24" t="s">
        <v>225</v>
      </c>
      <c r="J1434" s="23" t="s">
        <v>226</v>
      </c>
      <c r="K1434" s="24" t="s">
        <v>225</v>
      </c>
      <c r="L1434" s="23"/>
      <c r="M1434" s="25">
        <v>44868</v>
      </c>
      <c r="N1434" s="24">
        <v>2022</v>
      </c>
    </row>
    <row r="1435" spans="1:14">
      <c r="A1435" s="24">
        <v>2021</v>
      </c>
      <c r="B1435" s="24" t="s">
        <v>4</v>
      </c>
      <c r="C1435" s="24" t="s">
        <v>23</v>
      </c>
      <c r="D1435" s="24" t="s">
        <v>28</v>
      </c>
      <c r="E1435" s="23">
        <v>16</v>
      </c>
      <c r="F1435" s="24" t="s">
        <v>211</v>
      </c>
      <c r="G1435" s="24" t="s">
        <v>225</v>
      </c>
      <c r="H1435" s="23" t="s">
        <v>226</v>
      </c>
      <c r="I1435" s="24" t="s">
        <v>226</v>
      </c>
      <c r="J1435" s="23" t="s">
        <v>226</v>
      </c>
      <c r="K1435" s="24" t="s">
        <v>225</v>
      </c>
      <c r="L1435" s="23"/>
      <c r="M1435" s="25">
        <v>44868</v>
      </c>
      <c r="N1435" s="24">
        <v>2022</v>
      </c>
    </row>
    <row r="1436" spans="1:14">
      <c r="A1436" s="24">
        <v>2021</v>
      </c>
      <c r="B1436" s="24" t="s">
        <v>136</v>
      </c>
      <c r="C1436" s="24" t="s">
        <v>176</v>
      </c>
      <c r="D1436" s="24" t="s">
        <v>180</v>
      </c>
      <c r="E1436" s="23">
        <v>3</v>
      </c>
      <c r="F1436" s="24" t="s">
        <v>211</v>
      </c>
      <c r="G1436" s="24" t="s">
        <v>225</v>
      </c>
      <c r="H1436" s="23" t="s">
        <v>226</v>
      </c>
      <c r="I1436" s="24" t="s">
        <v>225</v>
      </c>
      <c r="J1436" s="23" t="s">
        <v>226</v>
      </c>
      <c r="K1436" s="24" t="s">
        <v>225</v>
      </c>
      <c r="L1436" s="23"/>
      <c r="M1436" s="25">
        <v>44868</v>
      </c>
      <c r="N1436" s="24">
        <v>2022</v>
      </c>
    </row>
    <row r="1437" spans="1:14">
      <c r="A1437" s="24">
        <v>2021</v>
      </c>
      <c r="B1437" s="24" t="s">
        <v>136</v>
      </c>
      <c r="C1437" s="24" t="s">
        <v>176</v>
      </c>
      <c r="D1437" s="24" t="s">
        <v>177</v>
      </c>
      <c r="E1437" s="23"/>
      <c r="F1437" s="24" t="s">
        <v>211</v>
      </c>
      <c r="G1437" s="24" t="s">
        <v>225</v>
      </c>
      <c r="H1437" s="23" t="s">
        <v>225</v>
      </c>
      <c r="I1437" s="24" t="s">
        <v>226</v>
      </c>
      <c r="J1437" s="23" t="s">
        <v>226</v>
      </c>
      <c r="K1437" s="24" t="s">
        <v>225</v>
      </c>
      <c r="L1437" s="23"/>
      <c r="M1437" s="25">
        <v>44868</v>
      </c>
      <c r="N1437" s="24">
        <v>2022</v>
      </c>
    </row>
    <row r="1438" spans="1:14">
      <c r="A1438" s="24">
        <v>2021</v>
      </c>
      <c r="B1438" s="24" t="s">
        <v>78</v>
      </c>
      <c r="C1438" s="24" t="s">
        <v>122</v>
      </c>
      <c r="D1438" s="24" t="s">
        <v>127</v>
      </c>
      <c r="E1438" s="23">
        <v>9</v>
      </c>
      <c r="F1438" s="24" t="s">
        <v>207</v>
      </c>
      <c r="G1438" s="23" t="s">
        <v>226</v>
      </c>
      <c r="H1438" s="23" t="s">
        <v>226</v>
      </c>
      <c r="I1438" s="24" t="s">
        <v>225</v>
      </c>
      <c r="J1438" s="23" t="s">
        <v>226</v>
      </c>
      <c r="K1438" s="24" t="s">
        <v>225</v>
      </c>
      <c r="L1438" s="23"/>
      <c r="M1438" s="25">
        <v>44869</v>
      </c>
      <c r="N1438" s="24">
        <v>2022</v>
      </c>
    </row>
    <row r="1439" spans="1:14">
      <c r="A1439" s="24">
        <v>2021</v>
      </c>
      <c r="B1439" s="24" t="s">
        <v>78</v>
      </c>
      <c r="C1439" s="24" t="s">
        <v>95</v>
      </c>
      <c r="D1439" s="24" t="s">
        <v>100</v>
      </c>
      <c r="E1439" s="23">
        <v>33</v>
      </c>
      <c r="F1439" s="24" t="s">
        <v>207</v>
      </c>
      <c r="G1439" s="24" t="s">
        <v>225</v>
      </c>
      <c r="H1439" s="23" t="s">
        <v>226</v>
      </c>
      <c r="I1439" s="24" t="s">
        <v>225</v>
      </c>
      <c r="J1439" s="23" t="s">
        <v>226</v>
      </c>
      <c r="K1439" s="24" t="s">
        <v>225</v>
      </c>
      <c r="L1439" s="23"/>
      <c r="M1439" s="25">
        <v>44870</v>
      </c>
      <c r="N1439" s="24">
        <v>2022</v>
      </c>
    </row>
    <row r="1440" spans="1:14">
      <c r="A1440" s="24">
        <v>2021</v>
      </c>
      <c r="B1440" s="24" t="s">
        <v>136</v>
      </c>
      <c r="C1440" s="24" t="s">
        <v>152</v>
      </c>
      <c r="D1440" s="24" t="s">
        <v>487</v>
      </c>
      <c r="E1440" s="23">
        <v>1</v>
      </c>
      <c r="F1440" s="24" t="s">
        <v>207</v>
      </c>
      <c r="G1440" s="24" t="s">
        <v>225</v>
      </c>
      <c r="H1440" s="23" t="s">
        <v>226</v>
      </c>
      <c r="I1440" s="24" t="s">
        <v>225</v>
      </c>
      <c r="J1440" s="23" t="s">
        <v>226</v>
      </c>
      <c r="K1440" s="24" t="s">
        <v>225</v>
      </c>
      <c r="L1440" s="23"/>
      <c r="M1440" s="25">
        <v>44900</v>
      </c>
      <c r="N1440" s="24">
        <v>2022</v>
      </c>
    </row>
  </sheetData>
  <mergeCells count="239">
    <mergeCell ref="O10:T10"/>
    <mergeCell ref="O11:T11"/>
    <mergeCell ref="AS1:AS2"/>
    <mergeCell ref="U1:U2"/>
    <mergeCell ref="V1:W1"/>
    <mergeCell ref="X1:AB1"/>
    <mergeCell ref="AH1:AH2"/>
    <mergeCell ref="AL1:AL2"/>
    <mergeCell ref="AM1:AM2"/>
    <mergeCell ref="AQ1:AQ2"/>
    <mergeCell ref="AR1:AR2"/>
    <mergeCell ref="AC1:AG1"/>
    <mergeCell ref="O4:T4"/>
    <mergeCell ref="O5:T5"/>
    <mergeCell ref="O6:T6"/>
    <mergeCell ref="O7:T7"/>
    <mergeCell ref="O8:T8"/>
    <mergeCell ref="O9:T9"/>
    <mergeCell ref="BB1:BF1"/>
    <mergeCell ref="AT1:AT2"/>
    <mergeCell ref="AP1:AP2"/>
    <mergeCell ref="AN1:AN2"/>
    <mergeCell ref="AI1:AI2"/>
    <mergeCell ref="AJ1:AJ2"/>
    <mergeCell ref="AK1:AK2"/>
    <mergeCell ref="O35:T35"/>
    <mergeCell ref="O16:T16"/>
    <mergeCell ref="O17:T17"/>
    <mergeCell ref="O18:T18"/>
    <mergeCell ref="O19:T19"/>
    <mergeCell ref="O20:T20"/>
    <mergeCell ref="O21:T21"/>
    <mergeCell ref="O29:T29"/>
    <mergeCell ref="O12:T12"/>
    <mergeCell ref="O13:T13"/>
    <mergeCell ref="O14:T14"/>
    <mergeCell ref="O15:T15"/>
    <mergeCell ref="O88:T88"/>
    <mergeCell ref="O71:T71"/>
    <mergeCell ref="O72:T72"/>
    <mergeCell ref="O73:T73"/>
    <mergeCell ref="O37:T37"/>
    <mergeCell ref="O38:T38"/>
    <mergeCell ref="O39:T39"/>
    <mergeCell ref="O40:T40"/>
    <mergeCell ref="O63:T63"/>
    <mergeCell ref="O43:T43"/>
    <mergeCell ref="O44:T44"/>
    <mergeCell ref="O45:T45"/>
    <mergeCell ref="O46:T46"/>
    <mergeCell ref="O41:T41"/>
    <mergeCell ref="O50:T50"/>
    <mergeCell ref="O54:T54"/>
    <mergeCell ref="O55:T55"/>
    <mergeCell ref="O58:T58"/>
    <mergeCell ref="O59:T59"/>
    <mergeCell ref="O61:T61"/>
    <mergeCell ref="O68:T68"/>
    <mergeCell ref="O69:T69"/>
    <mergeCell ref="O70:T70"/>
    <mergeCell ref="O97:T97"/>
    <mergeCell ref="O98:T98"/>
    <mergeCell ref="O99:T99"/>
    <mergeCell ref="O100:T100"/>
    <mergeCell ref="O101:T101"/>
    <mergeCell ref="O102:T102"/>
    <mergeCell ref="O89:T89"/>
    <mergeCell ref="O90:T90"/>
    <mergeCell ref="O91:T91"/>
    <mergeCell ref="O92:T92"/>
    <mergeCell ref="O93:T93"/>
    <mergeCell ref="O95:T95"/>
    <mergeCell ref="O94:T94"/>
    <mergeCell ref="O103:T103"/>
    <mergeCell ref="O104:T104"/>
    <mergeCell ref="O109:T109"/>
    <mergeCell ref="O111:T111"/>
    <mergeCell ref="O115:T115"/>
    <mergeCell ref="O108:T108"/>
    <mergeCell ref="O105:T105"/>
    <mergeCell ref="O106:T106"/>
    <mergeCell ref="O107:T107"/>
    <mergeCell ref="O114:T114"/>
    <mergeCell ref="O112:T112"/>
    <mergeCell ref="O113:T113"/>
    <mergeCell ref="O116:T116"/>
    <mergeCell ref="O117:T117"/>
    <mergeCell ref="O118:T118"/>
    <mergeCell ref="O119:T119"/>
    <mergeCell ref="O121:T121"/>
    <mergeCell ref="O124:T124"/>
    <mergeCell ref="O123:T123"/>
    <mergeCell ref="O122:T122"/>
    <mergeCell ref="O128:T128"/>
    <mergeCell ref="O136:T136"/>
    <mergeCell ref="O137:T137"/>
    <mergeCell ref="O138:T138"/>
    <mergeCell ref="O140:T140"/>
    <mergeCell ref="O141:T141"/>
    <mergeCell ref="O142:T142"/>
    <mergeCell ref="O126:T126"/>
    <mergeCell ref="O127:T127"/>
    <mergeCell ref="O133:T133"/>
    <mergeCell ref="O134:T134"/>
    <mergeCell ref="O135:T135"/>
    <mergeCell ref="O129:T129"/>
    <mergeCell ref="O130:T130"/>
    <mergeCell ref="O131:T131"/>
    <mergeCell ref="O157:T157"/>
    <mergeCell ref="O160:T160"/>
    <mergeCell ref="O161:T161"/>
    <mergeCell ref="O163:T163"/>
    <mergeCell ref="O164:T164"/>
    <mergeCell ref="O165:T165"/>
    <mergeCell ref="O162:T162"/>
    <mergeCell ref="O143:T143"/>
    <mergeCell ref="O144:T144"/>
    <mergeCell ref="O145:T145"/>
    <mergeCell ref="O146:T146"/>
    <mergeCell ref="O155:T155"/>
    <mergeCell ref="O156:T156"/>
    <mergeCell ref="O154:T154"/>
    <mergeCell ref="O147:T147"/>
    <mergeCell ref="O148:T148"/>
    <mergeCell ref="O149:T149"/>
    <mergeCell ref="O150:T150"/>
    <mergeCell ref="O151:T151"/>
    <mergeCell ref="O152:T152"/>
    <mergeCell ref="O153:T153"/>
    <mergeCell ref="O176:T176"/>
    <mergeCell ref="O177:T177"/>
    <mergeCell ref="O179:T179"/>
    <mergeCell ref="O180:T180"/>
    <mergeCell ref="O181:T181"/>
    <mergeCell ref="O182:T182"/>
    <mergeCell ref="O166:T166"/>
    <mergeCell ref="O167:T167"/>
    <mergeCell ref="O168:T168"/>
    <mergeCell ref="O170:T170"/>
    <mergeCell ref="O171:T171"/>
    <mergeCell ref="O175:T175"/>
    <mergeCell ref="O172:T172"/>
    <mergeCell ref="O173:T173"/>
    <mergeCell ref="O199:T199"/>
    <mergeCell ref="O201:T201"/>
    <mergeCell ref="O238:T238"/>
    <mergeCell ref="O239:T239"/>
    <mergeCell ref="O215:T215"/>
    <mergeCell ref="O216:T216"/>
    <mergeCell ref="O217:T217"/>
    <mergeCell ref="O183:T183"/>
    <mergeCell ref="O184:T184"/>
    <mergeCell ref="O185:T185"/>
    <mergeCell ref="O188:T188"/>
    <mergeCell ref="O190:T190"/>
    <mergeCell ref="O191:T191"/>
    <mergeCell ref="O187:T187"/>
    <mergeCell ref="O186:T186"/>
    <mergeCell ref="O194:T194"/>
    <mergeCell ref="O196:T196"/>
    <mergeCell ref="O195:T195"/>
    <mergeCell ref="O241:T241"/>
    <mergeCell ref="O230:T230"/>
    <mergeCell ref="O232:T232"/>
    <mergeCell ref="O233:T233"/>
    <mergeCell ref="O234:T234"/>
    <mergeCell ref="O235:T235"/>
    <mergeCell ref="O237:T237"/>
    <mergeCell ref="O221:T221"/>
    <mergeCell ref="O223:T223"/>
    <mergeCell ref="O224:T224"/>
    <mergeCell ref="O225:T225"/>
    <mergeCell ref="O227:T227"/>
    <mergeCell ref="O228:T228"/>
    <mergeCell ref="BM1:BM2"/>
    <mergeCell ref="BN1:BR1"/>
    <mergeCell ref="BG1:BG2"/>
    <mergeCell ref="BH1:BL1"/>
    <mergeCell ref="AO1:AO2"/>
    <mergeCell ref="AW1:BA1"/>
    <mergeCell ref="AU1:AV1"/>
    <mergeCell ref="O75:T75"/>
    <mergeCell ref="O76:T76"/>
    <mergeCell ref="O30:T30"/>
    <mergeCell ref="O3:T3"/>
    <mergeCell ref="O23:T23"/>
    <mergeCell ref="O24:T24"/>
    <mergeCell ref="O25:T25"/>
    <mergeCell ref="O26:T26"/>
    <mergeCell ref="O27:T27"/>
    <mergeCell ref="O47:T47"/>
    <mergeCell ref="O28:T28"/>
    <mergeCell ref="O36:T36"/>
    <mergeCell ref="O22:T22"/>
    <mergeCell ref="O31:T31"/>
    <mergeCell ref="O32:T32"/>
    <mergeCell ref="O33:T33"/>
    <mergeCell ref="O34:T34"/>
    <mergeCell ref="O48:T48"/>
    <mergeCell ref="O49:T49"/>
    <mergeCell ref="O52:T52"/>
    <mergeCell ref="O51:T51"/>
    <mergeCell ref="O53:T53"/>
    <mergeCell ref="O57:T57"/>
    <mergeCell ref="O56:T56"/>
    <mergeCell ref="O60:T60"/>
    <mergeCell ref="O87:T87"/>
    <mergeCell ref="O80:T80"/>
    <mergeCell ref="O67:T67"/>
    <mergeCell ref="O64:T64"/>
    <mergeCell ref="O65:T65"/>
    <mergeCell ref="O66:T66"/>
    <mergeCell ref="O77:T77"/>
    <mergeCell ref="O79:T79"/>
    <mergeCell ref="O85:T85"/>
    <mergeCell ref="O236:T236"/>
    <mergeCell ref="O240:T240"/>
    <mergeCell ref="O231:T231"/>
    <mergeCell ref="O222:T222"/>
    <mergeCell ref="O226:T226"/>
    <mergeCell ref="O210:T210"/>
    <mergeCell ref="O208:T208"/>
    <mergeCell ref="O209:T209"/>
    <mergeCell ref="O132:T132"/>
    <mergeCell ref="O174:T174"/>
    <mergeCell ref="O218:T218"/>
    <mergeCell ref="O219:T219"/>
    <mergeCell ref="O220:T220"/>
    <mergeCell ref="O203:T203"/>
    <mergeCell ref="O205:T205"/>
    <mergeCell ref="O207:T207"/>
    <mergeCell ref="O211:T211"/>
    <mergeCell ref="O212:T212"/>
    <mergeCell ref="O213:T213"/>
    <mergeCell ref="O204:T204"/>
    <mergeCell ref="O192:T192"/>
    <mergeCell ref="O193:T193"/>
    <mergeCell ref="O197:T197"/>
    <mergeCell ref="O198:T198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5" zoomScaleNormal="85" workbookViewId="0">
      <selection activeCell="Q77" sqref="Q77"/>
    </sheetView>
  </sheetViews>
  <sheetFormatPr baseColWidth="10"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6" workbookViewId="0">
      <selection activeCell="Q23" sqref="Q23"/>
    </sheetView>
  </sheetViews>
  <sheetFormatPr baseColWidth="10" defaultRowHeight="14.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59" zoomScale="80" zoomScaleNormal="80" workbookViewId="0">
      <selection activeCell="U51" sqref="U51"/>
    </sheetView>
  </sheetViews>
  <sheetFormatPr baseColWidth="10" defaultRowHeight="14.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C28" workbookViewId="0">
      <selection activeCell="G52" sqref="G52"/>
    </sheetView>
  </sheetViews>
  <sheetFormatPr baseColWidth="10" defaultRowHeight="14.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14" zoomScale="61" zoomScaleNormal="100" workbookViewId="0">
      <selection activeCell="P96" sqref="P96"/>
    </sheetView>
  </sheetViews>
  <sheetFormatPr baseColWidth="10" defaultRowHeight="14.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A43" workbookViewId="0">
      <selection activeCell="G47" sqref="G47"/>
    </sheetView>
  </sheetViews>
  <sheetFormatPr baseColWidth="10" defaultRowHeight="14.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topLeftCell="A49" workbookViewId="0">
      <selection activeCell="R29" sqref="R29"/>
    </sheetView>
  </sheetViews>
  <sheetFormatPr baseColWidth="10" defaultRowHeight="14.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8"/>
  <sheetViews>
    <sheetView workbookViewId="0">
      <selection activeCell="I48" sqref="I48"/>
    </sheetView>
  </sheetViews>
  <sheetFormatPr baseColWidth="10" defaultRowHeight="14.5"/>
  <sheetData>
    <row r="28" ht="14.2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Indicadores</vt:lpstr>
      <vt:lpstr>Gráficos totales</vt:lpstr>
      <vt:lpstr>Gráficos Escuelas</vt:lpstr>
      <vt:lpstr>Gráficos Programas Salud</vt:lpstr>
      <vt:lpstr>Salud</vt:lpstr>
      <vt:lpstr>Gráficos Programas TIC</vt:lpstr>
      <vt:lpstr>TIC</vt:lpstr>
      <vt:lpstr>Gráficos Programas CCSS</vt:lpstr>
      <vt:lpstr>CCSS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</dc:creator>
  <cp:lastModifiedBy>Pedro J Torres</cp:lastModifiedBy>
  <dcterms:created xsi:type="dcterms:W3CDTF">2018-07-16T06:16:54Z</dcterms:created>
  <dcterms:modified xsi:type="dcterms:W3CDTF">2023-01-27T09:37:00Z</dcterms:modified>
</cp:coreProperties>
</file>